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PKL Proposal Skripsi\Ready Fix\Proposal\Sidang Agustus\Skripsi Baru\Baru\Berkas Upload Sidang\Print Doc Sidang\Plagiasi\Buat Upload Yudisium dan Wisuda\"/>
    </mc:Choice>
  </mc:AlternateContent>
  <xr:revisionPtr revIDLastSave="0" documentId="13_ncr:1_{3C9337E4-72BB-490D-BAE3-556E657560A7}" xr6:coauthVersionLast="47" xr6:coauthVersionMax="47" xr10:uidLastSave="{00000000-0000-0000-0000-000000000000}"/>
  <bookViews>
    <workbookView xWindow="-108" yWindow="-108" windowWidth="23256" windowHeight="12456" activeTab="1" xr2:uid="{27D76600-018D-4368-A3E4-0688088DBC06}"/>
  </bookViews>
  <sheets>
    <sheet name="kg" sheetId="4" r:id="rId1"/>
    <sheet name="OVERALL" sheetId="59" r:id="rId2"/>
    <sheet name="Optimasi From Lingo" sheetId="56" r:id="rId3"/>
    <sheet name="Peramalan Double Exponen" sheetId="53" r:id="rId4"/>
    <sheet name="Kecepatan Produksi" sheetId="54" r:id="rId5"/>
    <sheet name="Jam Kerja Tersedia" sheetId="55" r:id="rId6"/>
    <sheet name="Single Exponen" sheetId="22" r:id="rId7"/>
    <sheet name="Double Exponen" sheetId="23" r:id="rId8"/>
    <sheet name="Konstanta a" sheetId="24" r:id="rId9"/>
    <sheet name="Konstanta b" sheetId="25" r:id="rId10"/>
    <sheet name="Peramalan" sheetId="26" r:id="rId11"/>
    <sheet name="Rekap 0,1" sheetId="27" r:id="rId12"/>
    <sheet name="Rekap 0,2" sheetId="35" r:id="rId13"/>
    <sheet name="REKAP 0,3" sheetId="36" r:id="rId14"/>
    <sheet name="Rekap 0,4" sheetId="37" r:id="rId15"/>
    <sheet name="Rekap 0,5" sheetId="38" r:id="rId16"/>
    <sheet name="Rekap 0,6" sheetId="39" r:id="rId17"/>
    <sheet name="Rekap 0,7" sheetId="40" r:id="rId18"/>
    <sheet name="Rekap 0,8" sheetId="41" r:id="rId19"/>
    <sheet name="Rekap 0,9" sheetId="42" r:id="rId20"/>
    <sheet name="MAPE Double Exponen" sheetId="52" r:id="rId21"/>
    <sheet name="rekap PE double exponen" sheetId="57" r:id="rId22"/>
    <sheet name="triple exponen" sheetId="28" r:id="rId23"/>
    <sheet name="Konstanta a triple" sheetId="29" r:id="rId24"/>
    <sheet name="Konstanta b triple" sheetId="30" r:id="rId25"/>
    <sheet name="Konstanta c triple" sheetId="31" r:id="rId26"/>
    <sheet name="Peramalan triple" sheetId="32" r:id="rId27"/>
    <sheet name="MAPE Triple" sheetId="34" r:id="rId28"/>
    <sheet name="rekap PE triple exponen" sheetId="58" r:id="rId29"/>
    <sheet name="Rekap triple 0,1" sheetId="43" r:id="rId30"/>
    <sheet name="Rekap Triple 0,2" sheetId="44" r:id="rId31"/>
    <sheet name="Rekap Triple 0,3" sheetId="45" r:id="rId32"/>
    <sheet name="Rekap Triple 0,4" sheetId="46" r:id="rId33"/>
    <sheet name="Rekap Triple 0,5" sheetId="47" r:id="rId34"/>
    <sheet name="Rekap Triple 0,6" sheetId="48" r:id="rId35"/>
    <sheet name="Rekap Triple 0,7" sheetId="49" r:id="rId36"/>
    <sheet name="Rekap Triple 0,8" sheetId="50" r:id="rId37"/>
    <sheet name="Rekap Triple 0,9" sheetId="51" r:id="rId3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59" l="1"/>
  <c r="L1" i="59"/>
  <c r="K1" i="59"/>
  <c r="J1" i="59"/>
  <c r="I1" i="59"/>
  <c r="H1" i="59"/>
  <c r="G1" i="59"/>
  <c r="F1" i="59"/>
  <c r="E1" i="59"/>
  <c r="D1" i="59"/>
  <c r="C1" i="59"/>
  <c r="B1" i="59"/>
  <c r="A7" i="54"/>
  <c r="A6" i="54"/>
  <c r="A5" i="54"/>
  <c r="A4" i="54"/>
  <c r="A3" i="54"/>
  <c r="A6" i="51"/>
  <c r="B6" i="51"/>
  <c r="C6" i="51"/>
  <c r="D6" i="51"/>
  <c r="E6" i="51"/>
  <c r="F6" i="51"/>
  <c r="L34" i="51"/>
  <c r="M34" i="51"/>
  <c r="A7" i="51"/>
  <c r="B7" i="51"/>
  <c r="C7" i="51"/>
  <c r="D7" i="51"/>
  <c r="E7" i="51"/>
  <c r="F7" i="51"/>
  <c r="L35" i="51"/>
  <c r="M35" i="51"/>
  <c r="A8" i="51"/>
  <c r="B8" i="51"/>
  <c r="C8" i="51"/>
  <c r="D8" i="51"/>
  <c r="E8" i="51"/>
  <c r="F8" i="51"/>
  <c r="L36" i="51"/>
  <c r="M36" i="51"/>
  <c r="A9" i="51"/>
  <c r="B9" i="51"/>
  <c r="C9" i="51"/>
  <c r="D9" i="51"/>
  <c r="E9" i="51"/>
  <c r="F9" i="51"/>
  <c r="L37" i="51"/>
  <c r="M37" i="51"/>
  <c r="A10" i="51"/>
  <c r="B10" i="51"/>
  <c r="C10" i="51"/>
  <c r="D10" i="51"/>
  <c r="E10" i="51"/>
  <c r="F10" i="51"/>
  <c r="L38" i="51"/>
  <c r="M38" i="51"/>
  <c r="A11" i="51"/>
  <c r="B11" i="51"/>
  <c r="C11" i="51"/>
  <c r="D11" i="51"/>
  <c r="E11" i="51"/>
  <c r="F11" i="51"/>
  <c r="L39" i="51"/>
  <c r="M39" i="51"/>
  <c r="A2" i="51"/>
  <c r="B2" i="51"/>
  <c r="C2" i="51"/>
  <c r="D2" i="51"/>
  <c r="E2" i="51"/>
  <c r="F2" i="51"/>
  <c r="L30" i="51"/>
  <c r="M30" i="51"/>
  <c r="L23" i="51"/>
  <c r="M23" i="51"/>
  <c r="L24" i="51"/>
  <c r="M24" i="51"/>
  <c r="L25" i="51"/>
  <c r="M25" i="51"/>
  <c r="L26" i="51"/>
  <c r="M26" i="51"/>
  <c r="L27" i="51"/>
  <c r="M27" i="51"/>
  <c r="L21" i="51"/>
  <c r="M21" i="51"/>
  <c r="L13" i="51"/>
  <c r="M13" i="51"/>
  <c r="L16" i="51"/>
  <c r="M16" i="51"/>
  <c r="L17" i="51"/>
  <c r="M17" i="51"/>
  <c r="L18" i="51"/>
  <c r="M18" i="51"/>
  <c r="L2" i="51"/>
  <c r="M2" i="51"/>
  <c r="L3" i="51"/>
  <c r="M3" i="51"/>
  <c r="L4" i="51"/>
  <c r="M4" i="51"/>
  <c r="L5" i="51"/>
  <c r="M5" i="51"/>
  <c r="L6" i="51"/>
  <c r="M6" i="51"/>
  <c r="L7" i="51"/>
  <c r="M7" i="51"/>
  <c r="L8" i="51"/>
  <c r="M8" i="51"/>
  <c r="L9" i="51"/>
  <c r="M9" i="51"/>
  <c r="A6" i="50"/>
  <c r="B6" i="50"/>
  <c r="C6" i="50"/>
  <c r="D6" i="50"/>
  <c r="E6" i="50"/>
  <c r="F6" i="50"/>
  <c r="L34" i="50"/>
  <c r="M34" i="50"/>
  <c r="A7" i="50"/>
  <c r="B7" i="50"/>
  <c r="C7" i="50"/>
  <c r="D7" i="50"/>
  <c r="E7" i="50"/>
  <c r="F7" i="50"/>
  <c r="L35" i="50"/>
  <c r="M35" i="50"/>
  <c r="A8" i="50"/>
  <c r="B8" i="50"/>
  <c r="C8" i="50"/>
  <c r="D8" i="50"/>
  <c r="E8" i="50"/>
  <c r="F8" i="50"/>
  <c r="L36" i="50"/>
  <c r="M36" i="50"/>
  <c r="A9" i="50"/>
  <c r="B9" i="50"/>
  <c r="C9" i="50"/>
  <c r="D9" i="50"/>
  <c r="E9" i="50"/>
  <c r="F9" i="50"/>
  <c r="L37" i="50"/>
  <c r="M37" i="50"/>
  <c r="A10" i="50"/>
  <c r="B10" i="50"/>
  <c r="C10" i="50"/>
  <c r="D10" i="50"/>
  <c r="E10" i="50"/>
  <c r="F10" i="50"/>
  <c r="L38" i="50"/>
  <c r="M38" i="50"/>
  <c r="A11" i="50"/>
  <c r="B11" i="50"/>
  <c r="C11" i="50"/>
  <c r="D11" i="50"/>
  <c r="E11" i="50"/>
  <c r="F11" i="50"/>
  <c r="L39" i="50"/>
  <c r="M39" i="50"/>
  <c r="A2" i="50"/>
  <c r="B2" i="50"/>
  <c r="C2" i="50"/>
  <c r="D2" i="50"/>
  <c r="E2" i="50"/>
  <c r="F2" i="50"/>
  <c r="L30" i="50"/>
  <c r="M30" i="50"/>
  <c r="L23" i="50"/>
  <c r="M23" i="50"/>
  <c r="L24" i="50"/>
  <c r="M24" i="50"/>
  <c r="L25" i="50"/>
  <c r="M25" i="50"/>
  <c r="L26" i="50"/>
  <c r="M26" i="50"/>
  <c r="L27" i="50"/>
  <c r="M27" i="50"/>
  <c r="L21" i="50"/>
  <c r="M21" i="50"/>
  <c r="L13" i="50"/>
  <c r="M13" i="50"/>
  <c r="L16" i="50"/>
  <c r="M16" i="50"/>
  <c r="L17" i="50"/>
  <c r="M17" i="50"/>
  <c r="L18" i="50"/>
  <c r="M18" i="50"/>
  <c r="L2" i="50"/>
  <c r="M2" i="50"/>
  <c r="L3" i="50"/>
  <c r="M3" i="50"/>
  <c r="L4" i="50"/>
  <c r="M4" i="50"/>
  <c r="L5" i="50"/>
  <c r="M5" i="50"/>
  <c r="L6" i="50"/>
  <c r="M6" i="50"/>
  <c r="L7" i="50"/>
  <c r="M7" i="50"/>
  <c r="L8" i="50"/>
  <c r="M8" i="50"/>
  <c r="L9" i="50"/>
  <c r="M9" i="50"/>
  <c r="A6" i="49"/>
  <c r="B6" i="49"/>
  <c r="C6" i="49"/>
  <c r="D6" i="49"/>
  <c r="E6" i="49"/>
  <c r="F6" i="49"/>
  <c r="L34" i="49"/>
  <c r="M34" i="49"/>
  <c r="A7" i="49"/>
  <c r="B7" i="49"/>
  <c r="C7" i="49"/>
  <c r="D7" i="49"/>
  <c r="E7" i="49"/>
  <c r="F7" i="49"/>
  <c r="L35" i="49"/>
  <c r="M35" i="49"/>
  <c r="A8" i="49"/>
  <c r="B8" i="49"/>
  <c r="C8" i="49"/>
  <c r="D8" i="49"/>
  <c r="E8" i="49"/>
  <c r="F8" i="49"/>
  <c r="L36" i="49"/>
  <c r="M36" i="49"/>
  <c r="A9" i="49"/>
  <c r="B9" i="49"/>
  <c r="C9" i="49"/>
  <c r="D9" i="49"/>
  <c r="E9" i="49"/>
  <c r="F9" i="49"/>
  <c r="L37" i="49"/>
  <c r="M37" i="49"/>
  <c r="A10" i="49"/>
  <c r="B10" i="49"/>
  <c r="C10" i="49"/>
  <c r="D10" i="49"/>
  <c r="E10" i="49"/>
  <c r="F10" i="49"/>
  <c r="L38" i="49"/>
  <c r="M38" i="49"/>
  <c r="A11" i="49"/>
  <c r="B11" i="49"/>
  <c r="C11" i="49"/>
  <c r="D11" i="49"/>
  <c r="E11" i="49"/>
  <c r="F11" i="49"/>
  <c r="L39" i="49"/>
  <c r="M39" i="49"/>
  <c r="A2" i="49"/>
  <c r="B2" i="49"/>
  <c r="C2" i="49"/>
  <c r="D2" i="49"/>
  <c r="E2" i="49"/>
  <c r="F2" i="49"/>
  <c r="L30" i="49"/>
  <c r="M30" i="49"/>
  <c r="L23" i="49"/>
  <c r="M23" i="49"/>
  <c r="L24" i="49"/>
  <c r="M24" i="49"/>
  <c r="L25" i="49"/>
  <c r="M25" i="49"/>
  <c r="L26" i="49"/>
  <c r="M26" i="49"/>
  <c r="L27" i="49"/>
  <c r="M27" i="49"/>
  <c r="L21" i="49"/>
  <c r="M21" i="49"/>
  <c r="L13" i="49"/>
  <c r="M13" i="49"/>
  <c r="L16" i="49"/>
  <c r="M16" i="49"/>
  <c r="L17" i="49"/>
  <c r="M17" i="49"/>
  <c r="L18" i="49"/>
  <c r="M18" i="49"/>
  <c r="L2" i="49"/>
  <c r="M2" i="49"/>
  <c r="L3" i="49"/>
  <c r="M3" i="49"/>
  <c r="L4" i="49"/>
  <c r="M4" i="49"/>
  <c r="L5" i="49"/>
  <c r="M5" i="49"/>
  <c r="L6" i="49"/>
  <c r="M6" i="49"/>
  <c r="L7" i="49"/>
  <c r="M7" i="49"/>
  <c r="L8" i="49"/>
  <c r="M8" i="49"/>
  <c r="L9" i="49"/>
  <c r="M9" i="49"/>
  <c r="A6" i="48"/>
  <c r="B6" i="48"/>
  <c r="C6" i="48"/>
  <c r="D6" i="48"/>
  <c r="E6" i="48"/>
  <c r="F6" i="48"/>
  <c r="L34" i="48"/>
  <c r="M34" i="48"/>
  <c r="A7" i="48"/>
  <c r="B7" i="48"/>
  <c r="C7" i="48"/>
  <c r="D7" i="48"/>
  <c r="E7" i="48"/>
  <c r="F7" i="48"/>
  <c r="L35" i="48"/>
  <c r="M35" i="48"/>
  <c r="A8" i="48"/>
  <c r="B8" i="48"/>
  <c r="C8" i="48"/>
  <c r="D8" i="48"/>
  <c r="E8" i="48"/>
  <c r="F8" i="48"/>
  <c r="L36" i="48"/>
  <c r="M36" i="48"/>
  <c r="A9" i="48"/>
  <c r="B9" i="48"/>
  <c r="C9" i="48"/>
  <c r="D9" i="48"/>
  <c r="E9" i="48"/>
  <c r="F9" i="48"/>
  <c r="L37" i="48"/>
  <c r="M37" i="48"/>
  <c r="A10" i="48"/>
  <c r="B10" i="48"/>
  <c r="C10" i="48"/>
  <c r="D10" i="48"/>
  <c r="E10" i="48"/>
  <c r="F10" i="48"/>
  <c r="L38" i="48"/>
  <c r="M38" i="48"/>
  <c r="A11" i="48"/>
  <c r="B11" i="48"/>
  <c r="C11" i="48"/>
  <c r="D11" i="48"/>
  <c r="E11" i="48"/>
  <c r="F11" i="48"/>
  <c r="L39" i="48"/>
  <c r="M39" i="48"/>
  <c r="A2" i="48"/>
  <c r="B2" i="48"/>
  <c r="C2" i="48"/>
  <c r="D2" i="48"/>
  <c r="E2" i="48"/>
  <c r="F2" i="48"/>
  <c r="L30" i="48"/>
  <c r="M30" i="48"/>
  <c r="L23" i="48"/>
  <c r="M23" i="48"/>
  <c r="L24" i="48"/>
  <c r="M24" i="48"/>
  <c r="L25" i="48"/>
  <c r="M25" i="48"/>
  <c r="L26" i="48"/>
  <c r="M26" i="48"/>
  <c r="L27" i="48"/>
  <c r="M27" i="48"/>
  <c r="L21" i="48"/>
  <c r="M21" i="48"/>
  <c r="L13" i="48"/>
  <c r="M13" i="48"/>
  <c r="L16" i="48"/>
  <c r="M16" i="48"/>
  <c r="L17" i="48"/>
  <c r="M17" i="48"/>
  <c r="L18" i="48"/>
  <c r="M18" i="48"/>
  <c r="L2" i="48"/>
  <c r="M2" i="48"/>
  <c r="L3" i="48"/>
  <c r="M3" i="48"/>
  <c r="L4" i="48"/>
  <c r="M4" i="48"/>
  <c r="L5" i="48"/>
  <c r="M5" i="48"/>
  <c r="L6" i="48"/>
  <c r="M6" i="48"/>
  <c r="L7" i="48"/>
  <c r="M7" i="48"/>
  <c r="L8" i="48"/>
  <c r="M8" i="48"/>
  <c r="L9" i="48"/>
  <c r="M9" i="48"/>
  <c r="A6" i="47"/>
  <c r="B6" i="47"/>
  <c r="C6" i="47"/>
  <c r="D6" i="47"/>
  <c r="E6" i="47"/>
  <c r="F6" i="47"/>
  <c r="L34" i="47"/>
  <c r="M34" i="47"/>
  <c r="A7" i="47"/>
  <c r="B7" i="47"/>
  <c r="C7" i="47"/>
  <c r="D7" i="47"/>
  <c r="E7" i="47"/>
  <c r="F7" i="47"/>
  <c r="L35" i="47"/>
  <c r="M35" i="47"/>
  <c r="A8" i="47"/>
  <c r="B8" i="47"/>
  <c r="C8" i="47"/>
  <c r="D8" i="47"/>
  <c r="E8" i="47"/>
  <c r="F8" i="47"/>
  <c r="L36" i="47"/>
  <c r="M36" i="47"/>
  <c r="A9" i="47"/>
  <c r="B9" i="47"/>
  <c r="C9" i="47"/>
  <c r="D9" i="47"/>
  <c r="E9" i="47"/>
  <c r="F9" i="47"/>
  <c r="L37" i="47"/>
  <c r="M37" i="47"/>
  <c r="A10" i="47"/>
  <c r="B10" i="47"/>
  <c r="C10" i="47"/>
  <c r="D10" i="47"/>
  <c r="E10" i="47"/>
  <c r="F10" i="47"/>
  <c r="L38" i="47"/>
  <c r="M38" i="47"/>
  <c r="A11" i="47"/>
  <c r="B11" i="47"/>
  <c r="C11" i="47"/>
  <c r="D11" i="47"/>
  <c r="E11" i="47"/>
  <c r="F11" i="47"/>
  <c r="L39" i="47"/>
  <c r="M39" i="47"/>
  <c r="A2" i="47"/>
  <c r="B2" i="47"/>
  <c r="C2" i="47"/>
  <c r="D2" i="47"/>
  <c r="E2" i="47"/>
  <c r="F2" i="47"/>
  <c r="L30" i="47"/>
  <c r="M30" i="47"/>
  <c r="L23" i="47"/>
  <c r="M23" i="47"/>
  <c r="L24" i="47"/>
  <c r="M24" i="47"/>
  <c r="L25" i="47"/>
  <c r="M25" i="47"/>
  <c r="L26" i="47"/>
  <c r="M26" i="47"/>
  <c r="L27" i="47"/>
  <c r="M27" i="47"/>
  <c r="L21" i="47"/>
  <c r="M21" i="47"/>
  <c r="L13" i="47"/>
  <c r="M13" i="47"/>
  <c r="L16" i="47"/>
  <c r="M16" i="47"/>
  <c r="L17" i="47"/>
  <c r="M17" i="47"/>
  <c r="L18" i="47"/>
  <c r="M18" i="47"/>
  <c r="L2" i="47"/>
  <c r="M2" i="47"/>
  <c r="L3" i="47"/>
  <c r="M3" i="47"/>
  <c r="L4" i="47"/>
  <c r="M4" i="47"/>
  <c r="L5" i="47"/>
  <c r="M5" i="47"/>
  <c r="L6" i="47"/>
  <c r="M6" i="47"/>
  <c r="L7" i="47"/>
  <c r="M7" i="47"/>
  <c r="L8" i="47"/>
  <c r="M8" i="47"/>
  <c r="L9" i="47"/>
  <c r="M9" i="47"/>
  <c r="A6" i="46"/>
  <c r="B6" i="46"/>
  <c r="C6" i="46"/>
  <c r="D6" i="46"/>
  <c r="E6" i="46"/>
  <c r="F6" i="46"/>
  <c r="L34" i="46"/>
  <c r="M34" i="46"/>
  <c r="A7" i="46"/>
  <c r="B7" i="46"/>
  <c r="C7" i="46"/>
  <c r="D7" i="46"/>
  <c r="E7" i="46"/>
  <c r="F7" i="46"/>
  <c r="L35" i="46"/>
  <c r="M35" i="46"/>
  <c r="A8" i="46"/>
  <c r="B8" i="46"/>
  <c r="C8" i="46"/>
  <c r="D8" i="46"/>
  <c r="E8" i="46"/>
  <c r="F8" i="46"/>
  <c r="L36" i="46"/>
  <c r="M36" i="46"/>
  <c r="A9" i="46"/>
  <c r="B9" i="46"/>
  <c r="C9" i="46"/>
  <c r="D9" i="46"/>
  <c r="E9" i="46"/>
  <c r="F9" i="46"/>
  <c r="L37" i="46"/>
  <c r="M37" i="46"/>
  <c r="A10" i="46"/>
  <c r="B10" i="46"/>
  <c r="C10" i="46"/>
  <c r="D10" i="46"/>
  <c r="E10" i="46"/>
  <c r="F10" i="46"/>
  <c r="L38" i="46"/>
  <c r="M38" i="46"/>
  <c r="A11" i="46"/>
  <c r="B11" i="46"/>
  <c r="C11" i="46"/>
  <c r="D11" i="46"/>
  <c r="E11" i="46"/>
  <c r="F11" i="46"/>
  <c r="L39" i="46"/>
  <c r="M39" i="46"/>
  <c r="A2" i="46"/>
  <c r="B2" i="46"/>
  <c r="C2" i="46"/>
  <c r="D2" i="46"/>
  <c r="E2" i="46"/>
  <c r="F2" i="46"/>
  <c r="L30" i="46"/>
  <c r="M30" i="46"/>
  <c r="L23" i="46"/>
  <c r="M23" i="46"/>
  <c r="L24" i="46"/>
  <c r="M24" i="46"/>
  <c r="L25" i="46"/>
  <c r="M25" i="46"/>
  <c r="L26" i="46"/>
  <c r="M26" i="46"/>
  <c r="L27" i="46"/>
  <c r="M27" i="46"/>
  <c r="L21" i="46"/>
  <c r="M21" i="46"/>
  <c r="L13" i="46"/>
  <c r="M13" i="46"/>
  <c r="L16" i="46"/>
  <c r="M16" i="46"/>
  <c r="L17" i="46"/>
  <c r="M17" i="46"/>
  <c r="L18" i="46"/>
  <c r="M18" i="46"/>
  <c r="L2" i="46"/>
  <c r="M2" i="46"/>
  <c r="L3" i="46"/>
  <c r="M3" i="46"/>
  <c r="L4" i="46"/>
  <c r="M4" i="46"/>
  <c r="L5" i="46"/>
  <c r="M5" i="46"/>
  <c r="L6" i="46"/>
  <c r="M6" i="46"/>
  <c r="L7" i="46"/>
  <c r="M7" i="46"/>
  <c r="L8" i="46"/>
  <c r="M8" i="46"/>
  <c r="L9" i="46"/>
  <c r="M9" i="46"/>
  <c r="A6" i="45"/>
  <c r="B6" i="45"/>
  <c r="C6" i="45"/>
  <c r="D6" i="45"/>
  <c r="E6" i="45"/>
  <c r="F6" i="45"/>
  <c r="L34" i="45"/>
  <c r="M34" i="45"/>
  <c r="A7" i="45"/>
  <c r="B7" i="45"/>
  <c r="C7" i="45"/>
  <c r="D7" i="45"/>
  <c r="E7" i="45"/>
  <c r="F7" i="45"/>
  <c r="L35" i="45"/>
  <c r="M35" i="45"/>
  <c r="A8" i="45"/>
  <c r="B8" i="45"/>
  <c r="C8" i="45"/>
  <c r="D8" i="45"/>
  <c r="E8" i="45"/>
  <c r="F8" i="45"/>
  <c r="L36" i="45"/>
  <c r="M36" i="45"/>
  <c r="A9" i="45"/>
  <c r="B9" i="45"/>
  <c r="C9" i="45"/>
  <c r="D9" i="45"/>
  <c r="E9" i="45"/>
  <c r="F9" i="45"/>
  <c r="L37" i="45"/>
  <c r="M37" i="45"/>
  <c r="A10" i="45"/>
  <c r="B10" i="45"/>
  <c r="C10" i="45"/>
  <c r="D10" i="45"/>
  <c r="E10" i="45"/>
  <c r="F10" i="45"/>
  <c r="L38" i="45"/>
  <c r="M38" i="45"/>
  <c r="A11" i="45"/>
  <c r="B11" i="45"/>
  <c r="C11" i="45"/>
  <c r="D11" i="45"/>
  <c r="E11" i="45"/>
  <c r="F11" i="45"/>
  <c r="L39" i="45"/>
  <c r="M39" i="45"/>
  <c r="A2" i="45"/>
  <c r="B2" i="45"/>
  <c r="C2" i="45"/>
  <c r="D2" i="45"/>
  <c r="E2" i="45"/>
  <c r="F2" i="45"/>
  <c r="L30" i="45"/>
  <c r="M30" i="45"/>
  <c r="L23" i="45"/>
  <c r="M23" i="45"/>
  <c r="L24" i="45"/>
  <c r="M24" i="45"/>
  <c r="L25" i="45"/>
  <c r="M25" i="45"/>
  <c r="L26" i="45"/>
  <c r="M26" i="45"/>
  <c r="L27" i="45"/>
  <c r="M27" i="45"/>
  <c r="L21" i="45"/>
  <c r="M21" i="45"/>
  <c r="L13" i="45"/>
  <c r="M13" i="45"/>
  <c r="L16" i="45"/>
  <c r="M16" i="45"/>
  <c r="L17" i="45"/>
  <c r="M17" i="45"/>
  <c r="L18" i="45"/>
  <c r="M18" i="45"/>
  <c r="L2" i="45"/>
  <c r="M2" i="45"/>
  <c r="L3" i="45"/>
  <c r="M3" i="45"/>
  <c r="L4" i="45"/>
  <c r="M4" i="45"/>
  <c r="L5" i="45"/>
  <c r="M5" i="45"/>
  <c r="L6" i="45"/>
  <c r="M6" i="45"/>
  <c r="L7" i="45"/>
  <c r="M7" i="45"/>
  <c r="L8" i="45"/>
  <c r="M8" i="45"/>
  <c r="L9" i="45"/>
  <c r="M9" i="45"/>
  <c r="A6" i="44"/>
  <c r="B6" i="44"/>
  <c r="C6" i="44"/>
  <c r="D6" i="44"/>
  <c r="E6" i="44"/>
  <c r="F6" i="44"/>
  <c r="L34" i="44"/>
  <c r="M34" i="44"/>
  <c r="A7" i="44"/>
  <c r="B7" i="44"/>
  <c r="C7" i="44"/>
  <c r="D7" i="44"/>
  <c r="E7" i="44"/>
  <c r="F7" i="44"/>
  <c r="L35" i="44"/>
  <c r="M35" i="44"/>
  <c r="A8" i="44"/>
  <c r="B8" i="44"/>
  <c r="C8" i="44"/>
  <c r="D8" i="44"/>
  <c r="E8" i="44"/>
  <c r="F8" i="44"/>
  <c r="L36" i="44"/>
  <c r="M36" i="44"/>
  <c r="A9" i="44"/>
  <c r="B9" i="44"/>
  <c r="C9" i="44"/>
  <c r="D9" i="44"/>
  <c r="E9" i="44"/>
  <c r="F9" i="44"/>
  <c r="L37" i="44"/>
  <c r="M37" i="44"/>
  <c r="A10" i="44"/>
  <c r="B10" i="44"/>
  <c r="C10" i="44"/>
  <c r="D10" i="44"/>
  <c r="E10" i="44"/>
  <c r="F10" i="44"/>
  <c r="L38" i="44"/>
  <c r="M38" i="44"/>
  <c r="A11" i="44"/>
  <c r="B11" i="44"/>
  <c r="C11" i="44"/>
  <c r="D11" i="44"/>
  <c r="E11" i="44"/>
  <c r="F11" i="44"/>
  <c r="L39" i="44"/>
  <c r="M39" i="44"/>
  <c r="A2" i="44"/>
  <c r="B2" i="44"/>
  <c r="C2" i="44"/>
  <c r="D2" i="44"/>
  <c r="E2" i="44"/>
  <c r="F2" i="44"/>
  <c r="L30" i="44"/>
  <c r="M30" i="44"/>
  <c r="L23" i="44"/>
  <c r="M23" i="44"/>
  <c r="L24" i="44"/>
  <c r="M24" i="44"/>
  <c r="L25" i="44"/>
  <c r="M25" i="44"/>
  <c r="L26" i="44"/>
  <c r="M26" i="44"/>
  <c r="L27" i="44"/>
  <c r="M27" i="44"/>
  <c r="L21" i="44"/>
  <c r="M21" i="44"/>
  <c r="L13" i="44"/>
  <c r="M13" i="44"/>
  <c r="L16" i="44"/>
  <c r="M16" i="44"/>
  <c r="L17" i="44"/>
  <c r="M17" i="44"/>
  <c r="L18" i="44"/>
  <c r="M18" i="44"/>
  <c r="L2" i="44"/>
  <c r="M2" i="44"/>
  <c r="L3" i="44"/>
  <c r="M3" i="44"/>
  <c r="L4" i="44"/>
  <c r="M4" i="44"/>
  <c r="L5" i="44"/>
  <c r="M5" i="44"/>
  <c r="L6" i="44"/>
  <c r="M6" i="44"/>
  <c r="L7" i="44"/>
  <c r="M7" i="44"/>
  <c r="L8" i="44"/>
  <c r="M8" i="44"/>
  <c r="L9" i="44"/>
  <c r="M9" i="44"/>
  <c r="A6" i="43"/>
  <c r="B6" i="43"/>
  <c r="C6" i="43"/>
  <c r="D6" i="43"/>
  <c r="E6" i="43"/>
  <c r="F6" i="43"/>
  <c r="L34" i="43"/>
  <c r="M34" i="43"/>
  <c r="A7" i="43"/>
  <c r="B7" i="43"/>
  <c r="C7" i="43"/>
  <c r="D7" i="43"/>
  <c r="E7" i="43"/>
  <c r="F7" i="43"/>
  <c r="L35" i="43"/>
  <c r="M35" i="43"/>
  <c r="A8" i="43"/>
  <c r="B8" i="43"/>
  <c r="C8" i="43"/>
  <c r="D8" i="43"/>
  <c r="E8" i="43"/>
  <c r="F8" i="43"/>
  <c r="L36" i="43"/>
  <c r="M36" i="43"/>
  <c r="A9" i="43"/>
  <c r="B9" i="43"/>
  <c r="C9" i="43"/>
  <c r="D9" i="43"/>
  <c r="E9" i="43"/>
  <c r="F9" i="43"/>
  <c r="L37" i="43"/>
  <c r="M37" i="43"/>
  <c r="A10" i="43"/>
  <c r="B10" i="43"/>
  <c r="C10" i="43"/>
  <c r="D10" i="43"/>
  <c r="E10" i="43"/>
  <c r="F10" i="43"/>
  <c r="L38" i="43"/>
  <c r="M38" i="43"/>
  <c r="A11" i="43"/>
  <c r="B11" i="43"/>
  <c r="C11" i="43"/>
  <c r="D11" i="43"/>
  <c r="E11" i="43"/>
  <c r="F11" i="43"/>
  <c r="L39" i="43"/>
  <c r="M39" i="43"/>
  <c r="A2" i="43"/>
  <c r="B2" i="43"/>
  <c r="C2" i="43"/>
  <c r="D2" i="43"/>
  <c r="E2" i="43"/>
  <c r="F2" i="43"/>
  <c r="L30" i="43"/>
  <c r="M30" i="43"/>
  <c r="L23" i="43"/>
  <c r="M23" i="43"/>
  <c r="L24" i="43"/>
  <c r="M24" i="43"/>
  <c r="L25" i="43"/>
  <c r="M25" i="43"/>
  <c r="L26" i="43"/>
  <c r="M26" i="43"/>
  <c r="L27" i="43"/>
  <c r="M27" i="43"/>
  <c r="L21" i="43"/>
  <c r="M21" i="43"/>
  <c r="L13" i="43"/>
  <c r="M13" i="43"/>
  <c r="L16" i="43"/>
  <c r="M16" i="43"/>
  <c r="L17" i="43"/>
  <c r="M17" i="43"/>
  <c r="L18" i="43"/>
  <c r="M18" i="43"/>
  <c r="L2" i="43"/>
  <c r="M2" i="43"/>
  <c r="L3" i="43"/>
  <c r="M3" i="43"/>
  <c r="L4" i="43"/>
  <c r="M4" i="43"/>
  <c r="L5" i="43"/>
  <c r="M5" i="43"/>
  <c r="L6" i="43"/>
  <c r="M6" i="43"/>
  <c r="L7" i="43"/>
  <c r="M7" i="43"/>
  <c r="L8" i="43"/>
  <c r="M8" i="43"/>
  <c r="L9" i="43"/>
  <c r="M9" i="43"/>
  <c r="E7" i="54"/>
  <c r="F7" i="54" s="1"/>
  <c r="E6" i="54"/>
  <c r="F6" i="54" s="1"/>
  <c r="E5" i="54"/>
  <c r="F5" i="54" s="1"/>
  <c r="E4" i="54"/>
  <c r="F4" i="54" s="1"/>
  <c r="F3" i="54"/>
  <c r="E3" i="54"/>
  <c r="C180" i="59" l="1"/>
  <c r="C179" i="59"/>
  <c r="C178" i="59"/>
  <c r="C177" i="59"/>
  <c r="C176" i="59"/>
  <c r="C175" i="59"/>
  <c r="C174" i="59"/>
  <c r="C173" i="59"/>
  <c r="C172" i="59"/>
  <c r="C171" i="59"/>
  <c r="C170" i="59"/>
  <c r="C169" i="59"/>
  <c r="A171" i="59"/>
  <c r="A172" i="59" s="1"/>
  <c r="A173" i="59" s="1"/>
  <c r="A174" i="59" s="1"/>
  <c r="A175" i="59" s="1"/>
  <c r="A176" i="59" s="1"/>
  <c r="A177" i="59" s="1"/>
  <c r="A178" i="59" s="1"/>
  <c r="A179" i="59" s="1"/>
  <c r="A180" i="59" s="1"/>
  <c r="A170" i="59"/>
  <c r="H164" i="59"/>
  <c r="H163" i="59"/>
  <c r="H162" i="59"/>
  <c r="H161" i="59"/>
  <c r="H160" i="59"/>
  <c r="H159" i="59"/>
  <c r="H158" i="59"/>
  <c r="H157" i="59"/>
  <c r="H156" i="59"/>
  <c r="H155" i="59"/>
  <c r="H154" i="59"/>
  <c r="H153" i="59"/>
  <c r="B164" i="59" l="1"/>
  <c r="A164" i="59"/>
  <c r="B163" i="59"/>
  <c r="A163" i="59"/>
  <c r="B162" i="59"/>
  <c r="A162" i="59"/>
  <c r="B161" i="59"/>
  <c r="A161" i="59"/>
  <c r="B160" i="59"/>
  <c r="A160" i="59"/>
  <c r="B159" i="59"/>
  <c r="A159" i="59"/>
  <c r="B158" i="59"/>
  <c r="A158" i="59"/>
  <c r="B157" i="59"/>
  <c r="A157" i="59"/>
  <c r="A156" i="59"/>
  <c r="B155" i="59"/>
  <c r="A155" i="59"/>
  <c r="B154" i="59"/>
  <c r="A154" i="59"/>
  <c r="B153" i="59"/>
  <c r="A153" i="59"/>
  <c r="J149" i="59"/>
  <c r="D177" i="59" s="1"/>
  <c r="H177" i="59" s="1"/>
  <c r="I149" i="59"/>
  <c r="D176" i="59" s="1"/>
  <c r="H176" i="59" s="1"/>
  <c r="N148" i="59"/>
  <c r="O148" i="59" s="1"/>
  <c r="M147" i="59"/>
  <c r="M149" i="59" s="1"/>
  <c r="D180" i="59" s="1"/>
  <c r="H180" i="59" s="1"/>
  <c r="L147" i="59"/>
  <c r="L149" i="59" s="1"/>
  <c r="D179" i="59" s="1"/>
  <c r="H179" i="59" s="1"/>
  <c r="K147" i="59"/>
  <c r="K149" i="59" s="1"/>
  <c r="D178" i="59" s="1"/>
  <c r="H178" i="59" s="1"/>
  <c r="J147" i="59"/>
  <c r="I147" i="59"/>
  <c r="H147" i="59"/>
  <c r="H149" i="59" s="1"/>
  <c r="D175" i="59" s="1"/>
  <c r="H175" i="59" s="1"/>
  <c r="G147" i="59"/>
  <c r="G149" i="59" s="1"/>
  <c r="D174" i="59" s="1"/>
  <c r="H174" i="59" s="1"/>
  <c r="F147" i="59"/>
  <c r="F149" i="59" s="1"/>
  <c r="D173" i="59" s="1"/>
  <c r="H173" i="59" s="1"/>
  <c r="E147" i="59"/>
  <c r="E149" i="59" s="1"/>
  <c r="D172" i="59" s="1"/>
  <c r="H172" i="59" s="1"/>
  <c r="D147" i="59"/>
  <c r="D149" i="59" s="1"/>
  <c r="D171" i="59" s="1"/>
  <c r="H171" i="59" s="1"/>
  <c r="C147" i="59"/>
  <c r="C149" i="59" s="1"/>
  <c r="D170" i="59" s="1"/>
  <c r="H170" i="59" s="1"/>
  <c r="B147" i="59"/>
  <c r="B149" i="59"/>
  <c r="D169" i="59" s="1"/>
  <c r="H169" i="59" s="1"/>
  <c r="A149" i="59"/>
  <c r="A148" i="59"/>
  <c r="A147" i="59"/>
  <c r="C132" i="59"/>
  <c r="D132" i="59" s="1"/>
  <c r="E132" i="59" s="1"/>
  <c r="F132" i="59" s="1"/>
  <c r="G132" i="59" s="1"/>
  <c r="H132" i="59" s="1"/>
  <c r="I132" i="59" s="1"/>
  <c r="J132" i="59" s="1"/>
  <c r="M129" i="59"/>
  <c r="L129" i="59"/>
  <c r="K129" i="59"/>
  <c r="J129" i="59"/>
  <c r="I129" i="59"/>
  <c r="H129" i="59"/>
  <c r="G129" i="59"/>
  <c r="F129" i="59"/>
  <c r="E129" i="59"/>
  <c r="D129" i="59"/>
  <c r="C129" i="59"/>
  <c r="B129" i="59"/>
  <c r="M128" i="59"/>
  <c r="L128" i="59"/>
  <c r="K128" i="59"/>
  <c r="J128" i="59"/>
  <c r="I128" i="59"/>
  <c r="H128" i="59"/>
  <c r="G128" i="59"/>
  <c r="F128" i="59"/>
  <c r="E128" i="59"/>
  <c r="D128" i="59"/>
  <c r="C128" i="59"/>
  <c r="B128" i="59"/>
  <c r="M127" i="59"/>
  <c r="L127" i="59"/>
  <c r="K127" i="59"/>
  <c r="J127" i="59"/>
  <c r="I127" i="59"/>
  <c r="H127" i="59"/>
  <c r="G127" i="59"/>
  <c r="F127" i="59"/>
  <c r="E127" i="59"/>
  <c r="D127" i="59"/>
  <c r="C127" i="59"/>
  <c r="B127" i="59"/>
  <c r="M126" i="59"/>
  <c r="L126" i="59"/>
  <c r="K126" i="59"/>
  <c r="J126" i="59"/>
  <c r="I126" i="59"/>
  <c r="H126" i="59"/>
  <c r="G126" i="59"/>
  <c r="F126" i="59"/>
  <c r="E126" i="59"/>
  <c r="D126" i="59"/>
  <c r="C126" i="59"/>
  <c r="B126" i="59"/>
  <c r="M125" i="59"/>
  <c r="L125" i="59"/>
  <c r="K125" i="59"/>
  <c r="J125" i="59"/>
  <c r="I125" i="59"/>
  <c r="H125" i="59"/>
  <c r="G125" i="59"/>
  <c r="F125" i="59"/>
  <c r="E125" i="59"/>
  <c r="D125" i="59"/>
  <c r="C125" i="59"/>
  <c r="B125" i="59"/>
  <c r="G116" i="59"/>
  <c r="H116" i="59" s="1"/>
  <c r="I116" i="59" s="1"/>
  <c r="J116" i="59" s="1"/>
  <c r="F116" i="59"/>
  <c r="E116" i="59"/>
  <c r="D116" i="59"/>
  <c r="C116" i="59"/>
  <c r="M113" i="59"/>
  <c r="L113" i="59"/>
  <c r="K113" i="59"/>
  <c r="J113" i="59"/>
  <c r="I113" i="59"/>
  <c r="H113" i="59"/>
  <c r="G113" i="59"/>
  <c r="F113" i="59"/>
  <c r="E113" i="59"/>
  <c r="D113" i="59"/>
  <c r="C113" i="59"/>
  <c r="B113" i="59"/>
  <c r="M112" i="59"/>
  <c r="L112" i="59"/>
  <c r="K112" i="59"/>
  <c r="J112" i="59"/>
  <c r="I112" i="59"/>
  <c r="H112" i="59"/>
  <c r="G112" i="59"/>
  <c r="F112" i="59"/>
  <c r="E112" i="59"/>
  <c r="D112" i="59"/>
  <c r="C112" i="59"/>
  <c r="B112" i="59"/>
  <c r="M111" i="59"/>
  <c r="L111" i="59"/>
  <c r="K111" i="59"/>
  <c r="J111" i="59"/>
  <c r="I111" i="59"/>
  <c r="H111" i="59"/>
  <c r="G111" i="59"/>
  <c r="F111" i="59"/>
  <c r="E111" i="59"/>
  <c r="D111" i="59"/>
  <c r="C111" i="59"/>
  <c r="B111" i="59"/>
  <c r="M110" i="59"/>
  <c r="L110" i="59"/>
  <c r="K110" i="59"/>
  <c r="J110" i="59"/>
  <c r="I110" i="59"/>
  <c r="H110" i="59"/>
  <c r="G110" i="59"/>
  <c r="F110" i="59"/>
  <c r="E110" i="59"/>
  <c r="D110" i="59"/>
  <c r="C110" i="59"/>
  <c r="B110" i="59"/>
  <c r="M109" i="59"/>
  <c r="L109" i="59"/>
  <c r="K109" i="59"/>
  <c r="J109" i="59"/>
  <c r="I109" i="59"/>
  <c r="H109" i="59"/>
  <c r="G109" i="59"/>
  <c r="F109" i="59"/>
  <c r="E109" i="59"/>
  <c r="D109" i="59"/>
  <c r="C109" i="59"/>
  <c r="B109" i="59"/>
  <c r="B104" i="59"/>
  <c r="B103" i="59"/>
  <c r="B102" i="59"/>
  <c r="B101" i="59"/>
  <c r="B100" i="59"/>
  <c r="B105" i="59" s="1"/>
  <c r="A67" i="59"/>
  <c r="B64" i="59"/>
  <c r="B63" i="59"/>
  <c r="B62" i="59"/>
  <c r="B61" i="59"/>
  <c r="B60" i="59"/>
  <c r="M27" i="59"/>
  <c r="L27" i="59"/>
  <c r="K27" i="59"/>
  <c r="J27" i="59"/>
  <c r="I27" i="59"/>
  <c r="H27" i="59"/>
  <c r="G27" i="59"/>
  <c r="F27" i="59"/>
  <c r="E27" i="59"/>
  <c r="D27" i="59"/>
  <c r="C27" i="59"/>
  <c r="B27" i="59"/>
  <c r="A27" i="59"/>
  <c r="H8" i="59"/>
  <c r="M7" i="59"/>
  <c r="L7" i="59"/>
  <c r="K7" i="59"/>
  <c r="J7" i="59"/>
  <c r="I7" i="59"/>
  <c r="H7" i="59"/>
  <c r="G7" i="59"/>
  <c r="F7" i="59"/>
  <c r="E7" i="59"/>
  <c r="D7" i="59"/>
  <c r="C7" i="59"/>
  <c r="B7" i="59"/>
  <c r="M6" i="59"/>
  <c r="L6" i="59"/>
  <c r="K6" i="59"/>
  <c r="J6" i="59"/>
  <c r="I6" i="59"/>
  <c r="H6" i="59"/>
  <c r="G6" i="59"/>
  <c r="F6" i="59"/>
  <c r="E6" i="59"/>
  <c r="D6" i="59"/>
  <c r="C6" i="59"/>
  <c r="B6" i="59"/>
  <c r="M5" i="59"/>
  <c r="L5" i="59"/>
  <c r="K5" i="59"/>
  <c r="J5" i="59"/>
  <c r="I5" i="59"/>
  <c r="H5" i="59"/>
  <c r="G5" i="59"/>
  <c r="F5" i="59"/>
  <c r="E5" i="59"/>
  <c r="D5" i="59"/>
  <c r="C5" i="59"/>
  <c r="B5" i="59"/>
  <c r="M4" i="59"/>
  <c r="L4" i="59"/>
  <c r="K4" i="59"/>
  <c r="J4" i="59"/>
  <c r="I4" i="59"/>
  <c r="H4" i="59"/>
  <c r="G4" i="59"/>
  <c r="F4" i="59"/>
  <c r="E4" i="59"/>
  <c r="D4" i="59"/>
  <c r="C4" i="59"/>
  <c r="B4" i="59"/>
  <c r="M3" i="59"/>
  <c r="M8" i="59" s="1"/>
  <c r="L3" i="59"/>
  <c r="L8" i="59" s="1"/>
  <c r="K3" i="59"/>
  <c r="K8" i="59" s="1"/>
  <c r="J3" i="59"/>
  <c r="J8" i="59" s="1"/>
  <c r="I3" i="59"/>
  <c r="I8" i="59" s="1"/>
  <c r="H3" i="59"/>
  <c r="G3" i="59"/>
  <c r="G8" i="59" s="1"/>
  <c r="F3" i="59"/>
  <c r="F8" i="59" s="1"/>
  <c r="E3" i="59"/>
  <c r="E8" i="59" s="1"/>
  <c r="D3" i="59"/>
  <c r="D8" i="59" s="1"/>
  <c r="C3" i="59"/>
  <c r="C8" i="59" s="1"/>
  <c r="B3" i="59"/>
  <c r="B8" i="59" s="1"/>
  <c r="N10" i="53"/>
  <c r="O10" i="53" s="1"/>
  <c r="N9" i="53"/>
  <c r="O9" i="53" s="1"/>
  <c r="M11" i="53"/>
  <c r="D30" i="56" s="1"/>
  <c r="L11" i="53"/>
  <c r="D29" i="56" s="1"/>
  <c r="K11" i="53"/>
  <c r="D28" i="56" s="1"/>
  <c r="J11" i="53"/>
  <c r="D27" i="56" s="1"/>
  <c r="I11" i="53"/>
  <c r="D26" i="56" s="1"/>
  <c r="H11" i="53"/>
  <c r="D25" i="56" s="1"/>
  <c r="G11" i="53"/>
  <c r="D24" i="56" s="1"/>
  <c r="F11" i="53"/>
  <c r="D23" i="56" s="1"/>
  <c r="E11" i="53"/>
  <c r="D22" i="56" s="1"/>
  <c r="D11" i="53"/>
  <c r="D21" i="56" s="1"/>
  <c r="C11" i="53"/>
  <c r="B11" i="53"/>
  <c r="D19" i="56" s="1"/>
  <c r="A20" i="56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4" i="56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B65" i="59" l="1"/>
  <c r="N11" i="53"/>
  <c r="N147" i="59"/>
  <c r="O147" i="59" s="1"/>
  <c r="N149" i="59"/>
  <c r="O150" i="59" s="1"/>
  <c r="O12" i="53"/>
  <c r="O11" i="53"/>
  <c r="D20" i="56"/>
  <c r="O149" i="59" l="1"/>
  <c r="D5" i="54"/>
  <c r="D4" i="54"/>
  <c r="D7" i="54" s="1"/>
  <c r="D3" i="54"/>
  <c r="B15" i="55"/>
  <c r="C14" i="55"/>
  <c r="D14" i="55" s="1"/>
  <c r="C30" i="56" s="1"/>
  <c r="H30" i="56" s="1"/>
  <c r="C13" i="55"/>
  <c r="D13" i="55" s="1"/>
  <c r="C29" i="56" s="1"/>
  <c r="H29" i="56" s="1"/>
  <c r="C12" i="55"/>
  <c r="D12" i="55" s="1"/>
  <c r="C28" i="56" s="1"/>
  <c r="H28" i="56" s="1"/>
  <c r="D11" i="55"/>
  <c r="C27" i="56" s="1"/>
  <c r="H27" i="56" s="1"/>
  <c r="C11" i="55"/>
  <c r="C10" i="55"/>
  <c r="D10" i="55" s="1"/>
  <c r="C26" i="56" s="1"/>
  <c r="H26" i="56" s="1"/>
  <c r="C9" i="55"/>
  <c r="D9" i="55" s="1"/>
  <c r="C25" i="56" s="1"/>
  <c r="H25" i="56" s="1"/>
  <c r="D8" i="55"/>
  <c r="C24" i="56" s="1"/>
  <c r="H24" i="56" s="1"/>
  <c r="C8" i="55"/>
  <c r="C7" i="55"/>
  <c r="D7" i="55" s="1"/>
  <c r="C23" i="56" s="1"/>
  <c r="H23" i="56" s="1"/>
  <c r="D6" i="55"/>
  <c r="C22" i="56" s="1"/>
  <c r="H22" i="56" s="1"/>
  <c r="C6" i="55"/>
  <c r="C5" i="55"/>
  <c r="D5" i="55" s="1"/>
  <c r="C21" i="56" s="1"/>
  <c r="H21" i="56" s="1"/>
  <c r="D4" i="55"/>
  <c r="C20" i="56" s="1"/>
  <c r="H20" i="56" s="1"/>
  <c r="C4" i="55"/>
  <c r="C3" i="55"/>
  <c r="D3" i="55" s="1"/>
  <c r="C19" i="56" s="1"/>
  <c r="H19" i="56" s="1"/>
  <c r="B7" i="54"/>
  <c r="B6" i="54"/>
  <c r="B5" i="54"/>
  <c r="B4" i="54"/>
  <c r="B3" i="54"/>
  <c r="D6" i="54" l="1"/>
  <c r="B14" i="59"/>
  <c r="B16" i="59"/>
  <c r="B12" i="59"/>
  <c r="B15" i="59" l="1"/>
  <c r="B13" i="59"/>
  <c r="N2" i="53"/>
  <c r="M2" i="53"/>
  <c r="L2" i="53"/>
  <c r="K2" i="53"/>
  <c r="J2" i="53"/>
  <c r="I2" i="53"/>
  <c r="H2" i="53"/>
  <c r="G2" i="53"/>
  <c r="F2" i="53"/>
  <c r="E2" i="53"/>
  <c r="D2" i="53"/>
  <c r="C2" i="53"/>
  <c r="N1" i="53"/>
  <c r="A2" i="53"/>
  <c r="A1" i="53"/>
  <c r="M41" i="51" l="1"/>
  <c r="L41" i="51"/>
  <c r="B13" i="51"/>
  <c r="A13" i="51"/>
  <c r="M40" i="51"/>
  <c r="L40" i="51"/>
  <c r="B12" i="51"/>
  <c r="A12" i="51"/>
  <c r="M33" i="51"/>
  <c r="L33" i="51"/>
  <c r="B5" i="51"/>
  <c r="A5" i="51"/>
  <c r="M32" i="51"/>
  <c r="L32" i="51"/>
  <c r="B4" i="51"/>
  <c r="A4" i="51"/>
  <c r="M31" i="51"/>
  <c r="L31" i="51"/>
  <c r="B3" i="51"/>
  <c r="A3" i="51"/>
  <c r="M22" i="51"/>
  <c r="L22" i="51"/>
  <c r="M20" i="51"/>
  <c r="L20" i="51"/>
  <c r="M19" i="51"/>
  <c r="L19" i="51"/>
  <c r="X13" i="51"/>
  <c r="W13" i="51"/>
  <c r="X12" i="51"/>
  <c r="W12" i="51"/>
  <c r="M12" i="51"/>
  <c r="L12" i="51"/>
  <c r="X11" i="51"/>
  <c r="W11" i="51"/>
  <c r="M11" i="51"/>
  <c r="L11" i="51"/>
  <c r="X10" i="51"/>
  <c r="W10" i="51"/>
  <c r="M10" i="51"/>
  <c r="L10" i="51"/>
  <c r="X9" i="51"/>
  <c r="W9" i="51"/>
  <c r="X8" i="51"/>
  <c r="W8" i="51"/>
  <c r="X7" i="51"/>
  <c r="W7" i="51"/>
  <c r="X6" i="51"/>
  <c r="W6" i="51"/>
  <c r="X5" i="51"/>
  <c r="W5" i="51"/>
  <c r="X4" i="51"/>
  <c r="W4" i="51"/>
  <c r="X3" i="51"/>
  <c r="W3" i="51"/>
  <c r="X2" i="51"/>
  <c r="W2" i="51"/>
  <c r="M41" i="50"/>
  <c r="L41" i="50"/>
  <c r="B13" i="50"/>
  <c r="A13" i="50"/>
  <c r="M40" i="50"/>
  <c r="L40" i="50"/>
  <c r="B12" i="50"/>
  <c r="A12" i="50"/>
  <c r="M33" i="50"/>
  <c r="L33" i="50"/>
  <c r="B5" i="50"/>
  <c r="A5" i="50"/>
  <c r="M32" i="50"/>
  <c r="L32" i="50"/>
  <c r="B4" i="50"/>
  <c r="A4" i="50"/>
  <c r="M31" i="50"/>
  <c r="L31" i="50"/>
  <c r="B3" i="50"/>
  <c r="A3" i="50"/>
  <c r="M22" i="50"/>
  <c r="L22" i="50"/>
  <c r="M20" i="50"/>
  <c r="L20" i="50"/>
  <c r="M19" i="50"/>
  <c r="L19" i="50"/>
  <c r="X13" i="50"/>
  <c r="W13" i="50"/>
  <c r="X12" i="50"/>
  <c r="W12" i="50"/>
  <c r="M12" i="50"/>
  <c r="L12" i="50"/>
  <c r="X11" i="50"/>
  <c r="W11" i="50"/>
  <c r="M11" i="50"/>
  <c r="L11" i="50"/>
  <c r="X10" i="50"/>
  <c r="W10" i="50"/>
  <c r="M10" i="50"/>
  <c r="L10" i="50"/>
  <c r="X9" i="50"/>
  <c r="W9" i="50"/>
  <c r="X8" i="50"/>
  <c r="W8" i="50"/>
  <c r="X7" i="50"/>
  <c r="W7" i="50"/>
  <c r="X6" i="50"/>
  <c r="W6" i="50"/>
  <c r="X5" i="50"/>
  <c r="W5" i="50"/>
  <c r="X4" i="50"/>
  <c r="W4" i="50"/>
  <c r="X3" i="50"/>
  <c r="W3" i="50"/>
  <c r="X2" i="50"/>
  <c r="W2" i="50"/>
  <c r="M41" i="49"/>
  <c r="L41" i="49"/>
  <c r="B13" i="49"/>
  <c r="A13" i="49"/>
  <c r="M40" i="49"/>
  <c r="L40" i="49"/>
  <c r="B12" i="49"/>
  <c r="A12" i="49"/>
  <c r="M33" i="49"/>
  <c r="L33" i="49"/>
  <c r="B5" i="49"/>
  <c r="A5" i="49"/>
  <c r="M32" i="49"/>
  <c r="L32" i="49"/>
  <c r="B4" i="49"/>
  <c r="A4" i="49"/>
  <c r="M31" i="49"/>
  <c r="L31" i="49"/>
  <c r="B3" i="49"/>
  <c r="A3" i="49"/>
  <c r="M22" i="49"/>
  <c r="L22" i="49"/>
  <c r="M20" i="49"/>
  <c r="L20" i="49"/>
  <c r="M19" i="49"/>
  <c r="L19" i="49"/>
  <c r="X13" i="49"/>
  <c r="W13" i="49"/>
  <c r="X12" i="49"/>
  <c r="W12" i="49"/>
  <c r="M12" i="49"/>
  <c r="L12" i="49"/>
  <c r="X11" i="49"/>
  <c r="W11" i="49"/>
  <c r="M11" i="49"/>
  <c r="L11" i="49"/>
  <c r="X10" i="49"/>
  <c r="W10" i="49"/>
  <c r="M10" i="49"/>
  <c r="L10" i="49"/>
  <c r="X9" i="49"/>
  <c r="W9" i="49"/>
  <c r="X8" i="49"/>
  <c r="W8" i="49"/>
  <c r="X7" i="49"/>
  <c r="W7" i="49"/>
  <c r="X6" i="49"/>
  <c r="W6" i="49"/>
  <c r="X5" i="49"/>
  <c r="W5" i="49"/>
  <c r="X4" i="49"/>
  <c r="W4" i="49"/>
  <c r="X3" i="49"/>
  <c r="W3" i="49"/>
  <c r="X2" i="49"/>
  <c r="W2" i="49"/>
  <c r="M41" i="48"/>
  <c r="L41" i="48"/>
  <c r="B13" i="48"/>
  <c r="A13" i="48"/>
  <c r="M40" i="48"/>
  <c r="L40" i="48"/>
  <c r="B12" i="48"/>
  <c r="A12" i="48"/>
  <c r="M33" i="48"/>
  <c r="L33" i="48"/>
  <c r="B5" i="48"/>
  <c r="A5" i="48"/>
  <c r="M32" i="48"/>
  <c r="L32" i="48"/>
  <c r="B4" i="48"/>
  <c r="A4" i="48"/>
  <c r="M31" i="48"/>
  <c r="L31" i="48"/>
  <c r="B3" i="48"/>
  <c r="A3" i="48"/>
  <c r="M22" i="48"/>
  <c r="L22" i="48"/>
  <c r="M20" i="48"/>
  <c r="L20" i="48"/>
  <c r="M19" i="48"/>
  <c r="L19" i="48"/>
  <c r="X13" i="48"/>
  <c r="W13" i="48"/>
  <c r="X12" i="48"/>
  <c r="W12" i="48"/>
  <c r="M12" i="48"/>
  <c r="L12" i="48"/>
  <c r="X11" i="48"/>
  <c r="W11" i="48"/>
  <c r="M11" i="48"/>
  <c r="L11" i="48"/>
  <c r="X10" i="48"/>
  <c r="W10" i="48"/>
  <c r="M10" i="48"/>
  <c r="L10" i="48"/>
  <c r="X9" i="48"/>
  <c r="W9" i="48"/>
  <c r="X8" i="48"/>
  <c r="W8" i="48"/>
  <c r="X7" i="48"/>
  <c r="W7" i="48"/>
  <c r="X6" i="48"/>
  <c r="W6" i="48"/>
  <c r="X5" i="48"/>
  <c r="W5" i="48"/>
  <c r="X4" i="48"/>
  <c r="W4" i="48"/>
  <c r="X3" i="48"/>
  <c r="W3" i="48"/>
  <c r="X2" i="48"/>
  <c r="W2" i="48"/>
  <c r="M41" i="47"/>
  <c r="L41" i="47"/>
  <c r="B13" i="47"/>
  <c r="A13" i="47"/>
  <c r="M40" i="47"/>
  <c r="L40" i="47"/>
  <c r="B12" i="47"/>
  <c r="A12" i="47"/>
  <c r="M33" i="47"/>
  <c r="L33" i="47"/>
  <c r="B5" i="47"/>
  <c r="A5" i="47"/>
  <c r="M32" i="47"/>
  <c r="L32" i="47"/>
  <c r="B4" i="47"/>
  <c r="A4" i="47"/>
  <c r="M31" i="47"/>
  <c r="L31" i="47"/>
  <c r="B3" i="47"/>
  <c r="A3" i="47"/>
  <c r="M22" i="47"/>
  <c r="L22" i="47"/>
  <c r="M20" i="47"/>
  <c r="L20" i="47"/>
  <c r="M19" i="47"/>
  <c r="L19" i="47"/>
  <c r="X13" i="47"/>
  <c r="W13" i="47"/>
  <c r="X12" i="47"/>
  <c r="W12" i="47"/>
  <c r="M12" i="47"/>
  <c r="L12" i="47"/>
  <c r="X11" i="47"/>
  <c r="W11" i="47"/>
  <c r="M11" i="47"/>
  <c r="L11" i="47"/>
  <c r="X10" i="47"/>
  <c r="W10" i="47"/>
  <c r="M10" i="47"/>
  <c r="L10" i="47"/>
  <c r="X9" i="47"/>
  <c r="W9" i="47"/>
  <c r="X8" i="47"/>
  <c r="W8" i="47"/>
  <c r="X7" i="47"/>
  <c r="W7" i="47"/>
  <c r="X6" i="47"/>
  <c r="W6" i="47"/>
  <c r="X5" i="47"/>
  <c r="W5" i="47"/>
  <c r="X4" i="47"/>
  <c r="W4" i="47"/>
  <c r="X3" i="47"/>
  <c r="W3" i="47"/>
  <c r="X2" i="47"/>
  <c r="W2" i="47"/>
  <c r="M41" i="46"/>
  <c r="L41" i="46"/>
  <c r="B13" i="46"/>
  <c r="A13" i="46"/>
  <c r="M40" i="46"/>
  <c r="L40" i="46"/>
  <c r="B12" i="46"/>
  <c r="A12" i="46"/>
  <c r="M33" i="46"/>
  <c r="L33" i="46"/>
  <c r="B5" i="46"/>
  <c r="A5" i="46"/>
  <c r="M32" i="46"/>
  <c r="L32" i="46"/>
  <c r="B4" i="46"/>
  <c r="A4" i="46"/>
  <c r="M31" i="46"/>
  <c r="L31" i="46"/>
  <c r="B3" i="46"/>
  <c r="A3" i="46"/>
  <c r="M22" i="46"/>
  <c r="L22" i="46"/>
  <c r="M20" i="46"/>
  <c r="L20" i="46"/>
  <c r="M19" i="46"/>
  <c r="L19" i="46"/>
  <c r="X13" i="46"/>
  <c r="W13" i="46"/>
  <c r="X12" i="46"/>
  <c r="W12" i="46"/>
  <c r="M12" i="46"/>
  <c r="L12" i="46"/>
  <c r="X11" i="46"/>
  <c r="W11" i="46"/>
  <c r="M11" i="46"/>
  <c r="L11" i="46"/>
  <c r="X10" i="46"/>
  <c r="W10" i="46"/>
  <c r="M10" i="46"/>
  <c r="L10" i="46"/>
  <c r="X9" i="46"/>
  <c r="W9" i="46"/>
  <c r="X8" i="46"/>
  <c r="W8" i="46"/>
  <c r="X7" i="46"/>
  <c r="W7" i="46"/>
  <c r="X6" i="46"/>
  <c r="W6" i="46"/>
  <c r="X5" i="46"/>
  <c r="W5" i="46"/>
  <c r="X4" i="46"/>
  <c r="W4" i="46"/>
  <c r="X3" i="46"/>
  <c r="W3" i="46"/>
  <c r="X2" i="46"/>
  <c r="W2" i="46"/>
  <c r="M41" i="45"/>
  <c r="L41" i="45"/>
  <c r="B13" i="45"/>
  <c r="A13" i="45"/>
  <c r="M40" i="45"/>
  <c r="L40" i="45"/>
  <c r="B12" i="45"/>
  <c r="A12" i="45"/>
  <c r="M33" i="45"/>
  <c r="L33" i="45"/>
  <c r="B5" i="45"/>
  <c r="A5" i="45"/>
  <c r="M32" i="45"/>
  <c r="L32" i="45"/>
  <c r="B4" i="45"/>
  <c r="A4" i="45"/>
  <c r="M31" i="45"/>
  <c r="L31" i="45"/>
  <c r="B3" i="45"/>
  <c r="A3" i="45"/>
  <c r="M22" i="45"/>
  <c r="L22" i="45"/>
  <c r="M20" i="45"/>
  <c r="L20" i="45"/>
  <c r="M19" i="45"/>
  <c r="L19" i="45"/>
  <c r="X13" i="45"/>
  <c r="W13" i="45"/>
  <c r="X12" i="45"/>
  <c r="W12" i="45"/>
  <c r="M12" i="45"/>
  <c r="L12" i="45"/>
  <c r="X11" i="45"/>
  <c r="W11" i="45"/>
  <c r="M11" i="45"/>
  <c r="L11" i="45"/>
  <c r="X10" i="45"/>
  <c r="W10" i="45"/>
  <c r="M10" i="45"/>
  <c r="L10" i="45"/>
  <c r="X9" i="45"/>
  <c r="W9" i="45"/>
  <c r="X8" i="45"/>
  <c r="W8" i="45"/>
  <c r="X7" i="45"/>
  <c r="W7" i="45"/>
  <c r="X6" i="45"/>
  <c r="W6" i="45"/>
  <c r="X5" i="45"/>
  <c r="W5" i="45"/>
  <c r="X4" i="45"/>
  <c r="W4" i="45"/>
  <c r="X3" i="45"/>
  <c r="W3" i="45"/>
  <c r="X2" i="45"/>
  <c r="W2" i="45"/>
  <c r="M41" i="44"/>
  <c r="L41" i="44"/>
  <c r="B13" i="44"/>
  <c r="A13" i="44"/>
  <c r="M40" i="44"/>
  <c r="L40" i="44"/>
  <c r="B12" i="44"/>
  <c r="A12" i="44"/>
  <c r="M33" i="44"/>
  <c r="L33" i="44"/>
  <c r="B5" i="44"/>
  <c r="A5" i="44"/>
  <c r="M32" i="44"/>
  <c r="L32" i="44"/>
  <c r="B4" i="44"/>
  <c r="A4" i="44"/>
  <c r="M31" i="44"/>
  <c r="L31" i="44"/>
  <c r="B3" i="44"/>
  <c r="A3" i="44"/>
  <c r="M22" i="44"/>
  <c r="L22" i="44"/>
  <c r="M20" i="44"/>
  <c r="L20" i="44"/>
  <c r="M19" i="44"/>
  <c r="L19" i="44"/>
  <c r="X13" i="44"/>
  <c r="W13" i="44"/>
  <c r="X12" i="44"/>
  <c r="W12" i="44"/>
  <c r="M12" i="44"/>
  <c r="L12" i="44"/>
  <c r="X11" i="44"/>
  <c r="W11" i="44"/>
  <c r="M11" i="44"/>
  <c r="L11" i="44"/>
  <c r="X10" i="44"/>
  <c r="W10" i="44"/>
  <c r="M10" i="44"/>
  <c r="L10" i="44"/>
  <c r="X9" i="44"/>
  <c r="W9" i="44"/>
  <c r="X8" i="44"/>
  <c r="W8" i="44"/>
  <c r="X7" i="44"/>
  <c r="W7" i="44"/>
  <c r="X6" i="44"/>
  <c r="W6" i="44"/>
  <c r="X5" i="44"/>
  <c r="W5" i="44"/>
  <c r="X4" i="44"/>
  <c r="W4" i="44"/>
  <c r="X3" i="44"/>
  <c r="W3" i="44"/>
  <c r="X2" i="44"/>
  <c r="W2" i="44"/>
  <c r="X13" i="43"/>
  <c r="X12" i="43"/>
  <c r="X11" i="43"/>
  <c r="X10" i="43"/>
  <c r="X9" i="43"/>
  <c r="X8" i="43"/>
  <c r="X7" i="43"/>
  <c r="X6" i="43"/>
  <c r="X5" i="43"/>
  <c r="X4" i="43"/>
  <c r="X3" i="43"/>
  <c r="X2" i="43"/>
  <c r="W13" i="43"/>
  <c r="W12" i="43"/>
  <c r="W11" i="43"/>
  <c r="W10" i="43"/>
  <c r="W9" i="43"/>
  <c r="W8" i="43"/>
  <c r="W7" i="43"/>
  <c r="W6" i="43"/>
  <c r="W5" i="43"/>
  <c r="W4" i="43"/>
  <c r="W3" i="43"/>
  <c r="W2" i="43"/>
  <c r="M41" i="43"/>
  <c r="M40" i="43"/>
  <c r="M33" i="43"/>
  <c r="M32" i="43"/>
  <c r="M31" i="43"/>
  <c r="L41" i="43"/>
  <c r="L40" i="43"/>
  <c r="L33" i="43"/>
  <c r="L32" i="43"/>
  <c r="L31" i="43"/>
  <c r="M22" i="43"/>
  <c r="M20" i="43"/>
  <c r="M19" i="43"/>
  <c r="L22" i="43"/>
  <c r="L20" i="43"/>
  <c r="L19" i="43"/>
  <c r="M12" i="43"/>
  <c r="M11" i="43"/>
  <c r="M10" i="43"/>
  <c r="L12" i="43"/>
  <c r="L11" i="43"/>
  <c r="L10" i="43"/>
  <c r="B13" i="43"/>
  <c r="B12" i="43"/>
  <c r="B5" i="43"/>
  <c r="B4" i="43"/>
  <c r="B3" i="43"/>
  <c r="A13" i="43"/>
  <c r="A12" i="43"/>
  <c r="A5" i="43"/>
  <c r="A4" i="43"/>
  <c r="A3" i="43"/>
  <c r="K41" i="42" l="1"/>
  <c r="B13" i="42"/>
  <c r="K40" i="42"/>
  <c r="B12" i="42"/>
  <c r="K39" i="42"/>
  <c r="B11" i="42"/>
  <c r="K38" i="42"/>
  <c r="B10" i="42"/>
  <c r="K37" i="42"/>
  <c r="B9" i="42"/>
  <c r="K36" i="42"/>
  <c r="B8" i="42"/>
  <c r="K35" i="42"/>
  <c r="B7" i="42"/>
  <c r="K34" i="42"/>
  <c r="B6" i="42"/>
  <c r="K33" i="42"/>
  <c r="B5" i="42"/>
  <c r="K32" i="42"/>
  <c r="B4" i="42"/>
  <c r="K31" i="42"/>
  <c r="B3" i="42"/>
  <c r="K30" i="42"/>
  <c r="B2" i="42"/>
  <c r="K27" i="42"/>
  <c r="K26" i="42"/>
  <c r="K25" i="42"/>
  <c r="K24" i="42"/>
  <c r="K23" i="42"/>
  <c r="K22" i="42"/>
  <c r="K21" i="42"/>
  <c r="K20" i="42"/>
  <c r="K19" i="42"/>
  <c r="K18" i="42"/>
  <c r="K17" i="42"/>
  <c r="K16" i="42"/>
  <c r="T13" i="42"/>
  <c r="K13" i="42"/>
  <c r="T12" i="42"/>
  <c r="K12" i="42"/>
  <c r="T11" i="42"/>
  <c r="K11" i="42"/>
  <c r="T10" i="42"/>
  <c r="K10" i="42"/>
  <c r="T9" i="42"/>
  <c r="K9" i="42"/>
  <c r="T8" i="42"/>
  <c r="K8" i="42"/>
  <c r="T7" i="42"/>
  <c r="K7" i="42"/>
  <c r="T6" i="42"/>
  <c r="K6" i="42"/>
  <c r="T5" i="42"/>
  <c r="K5" i="42"/>
  <c r="T4" i="42"/>
  <c r="K4" i="42"/>
  <c r="T3" i="42"/>
  <c r="K3" i="42"/>
  <c r="T2" i="42"/>
  <c r="K2" i="42"/>
  <c r="K41" i="41"/>
  <c r="B13" i="41"/>
  <c r="K40" i="41"/>
  <c r="B12" i="41"/>
  <c r="K39" i="41"/>
  <c r="B11" i="41"/>
  <c r="K38" i="41"/>
  <c r="B10" i="41"/>
  <c r="K37" i="41"/>
  <c r="B9" i="41"/>
  <c r="K36" i="41"/>
  <c r="B8" i="41"/>
  <c r="K35" i="41"/>
  <c r="B7" i="41"/>
  <c r="K34" i="41"/>
  <c r="B6" i="41"/>
  <c r="K33" i="41"/>
  <c r="B5" i="41"/>
  <c r="K32" i="41"/>
  <c r="B4" i="41"/>
  <c r="K31" i="41"/>
  <c r="B3" i="41"/>
  <c r="K30" i="41"/>
  <c r="B2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T13" i="41"/>
  <c r="K13" i="41"/>
  <c r="T12" i="41"/>
  <c r="K12" i="41"/>
  <c r="T11" i="41"/>
  <c r="K11" i="41"/>
  <c r="T10" i="41"/>
  <c r="K10" i="41"/>
  <c r="T9" i="41"/>
  <c r="K9" i="41"/>
  <c r="T8" i="41"/>
  <c r="K8" i="41"/>
  <c r="T7" i="41"/>
  <c r="K7" i="41"/>
  <c r="T6" i="41"/>
  <c r="K6" i="41"/>
  <c r="T5" i="41"/>
  <c r="K5" i="41"/>
  <c r="T4" i="41"/>
  <c r="K4" i="41"/>
  <c r="T3" i="41"/>
  <c r="K3" i="41"/>
  <c r="T2" i="41"/>
  <c r="K2" i="41"/>
  <c r="K41" i="40"/>
  <c r="B13" i="40"/>
  <c r="K40" i="40"/>
  <c r="B12" i="40"/>
  <c r="K39" i="40"/>
  <c r="B11" i="40"/>
  <c r="K38" i="40"/>
  <c r="B10" i="40"/>
  <c r="K37" i="40"/>
  <c r="B9" i="40"/>
  <c r="K36" i="40"/>
  <c r="B8" i="40"/>
  <c r="K35" i="40"/>
  <c r="B7" i="40"/>
  <c r="K34" i="40"/>
  <c r="B6" i="40"/>
  <c r="K33" i="40"/>
  <c r="B5" i="40"/>
  <c r="K32" i="40"/>
  <c r="B4" i="40"/>
  <c r="K31" i="40"/>
  <c r="B3" i="40"/>
  <c r="K30" i="40"/>
  <c r="B2" i="40"/>
  <c r="K27" i="40"/>
  <c r="K26" i="40"/>
  <c r="K25" i="40"/>
  <c r="K24" i="40"/>
  <c r="K23" i="40"/>
  <c r="K22" i="40"/>
  <c r="K21" i="40"/>
  <c r="K20" i="40"/>
  <c r="K19" i="40"/>
  <c r="K18" i="40"/>
  <c r="K17" i="40"/>
  <c r="K16" i="40"/>
  <c r="T13" i="40"/>
  <c r="K13" i="40"/>
  <c r="T12" i="40"/>
  <c r="K12" i="40"/>
  <c r="T11" i="40"/>
  <c r="K11" i="40"/>
  <c r="T10" i="40"/>
  <c r="K10" i="40"/>
  <c r="T9" i="40"/>
  <c r="K9" i="40"/>
  <c r="T8" i="40"/>
  <c r="K8" i="40"/>
  <c r="T7" i="40"/>
  <c r="K7" i="40"/>
  <c r="T6" i="40"/>
  <c r="K6" i="40"/>
  <c r="T5" i="40"/>
  <c r="K5" i="40"/>
  <c r="T4" i="40"/>
  <c r="K4" i="40"/>
  <c r="T3" i="40"/>
  <c r="K3" i="40"/>
  <c r="T2" i="40"/>
  <c r="K2" i="40"/>
  <c r="K41" i="39"/>
  <c r="B13" i="39"/>
  <c r="K40" i="39"/>
  <c r="B12" i="39"/>
  <c r="K39" i="39"/>
  <c r="B11" i="39"/>
  <c r="K38" i="39"/>
  <c r="B10" i="39"/>
  <c r="K37" i="39"/>
  <c r="B9" i="39"/>
  <c r="K36" i="39"/>
  <c r="B8" i="39"/>
  <c r="K35" i="39"/>
  <c r="B7" i="39"/>
  <c r="K34" i="39"/>
  <c r="B6" i="39"/>
  <c r="K33" i="39"/>
  <c r="B5" i="39"/>
  <c r="K32" i="39"/>
  <c r="B4" i="39"/>
  <c r="K31" i="39"/>
  <c r="B3" i="39"/>
  <c r="K30" i="39"/>
  <c r="B2" i="39"/>
  <c r="K27" i="39"/>
  <c r="K26" i="39"/>
  <c r="K25" i="39"/>
  <c r="K24" i="39"/>
  <c r="K23" i="39"/>
  <c r="K22" i="39"/>
  <c r="K21" i="39"/>
  <c r="K20" i="39"/>
  <c r="K19" i="39"/>
  <c r="K18" i="39"/>
  <c r="K17" i="39"/>
  <c r="K16" i="39"/>
  <c r="T13" i="39"/>
  <c r="K13" i="39"/>
  <c r="T12" i="39"/>
  <c r="K12" i="39"/>
  <c r="T11" i="39"/>
  <c r="K11" i="39"/>
  <c r="T10" i="39"/>
  <c r="K10" i="39"/>
  <c r="T9" i="39"/>
  <c r="K9" i="39"/>
  <c r="T8" i="39"/>
  <c r="K8" i="39"/>
  <c r="T7" i="39"/>
  <c r="K7" i="39"/>
  <c r="T6" i="39"/>
  <c r="K6" i="39"/>
  <c r="T5" i="39"/>
  <c r="K5" i="39"/>
  <c r="T4" i="39"/>
  <c r="K4" i="39"/>
  <c r="T3" i="39"/>
  <c r="K3" i="39"/>
  <c r="T2" i="39"/>
  <c r="K2" i="39"/>
  <c r="K41" i="38" l="1"/>
  <c r="B13" i="38"/>
  <c r="K40" i="38"/>
  <c r="B12" i="38"/>
  <c r="K39" i="38"/>
  <c r="B11" i="38"/>
  <c r="K38" i="38"/>
  <c r="B10" i="38"/>
  <c r="K37" i="38"/>
  <c r="B9" i="38"/>
  <c r="K36" i="38"/>
  <c r="B8" i="38"/>
  <c r="K35" i="38"/>
  <c r="B7" i="38"/>
  <c r="K34" i="38"/>
  <c r="B6" i="38"/>
  <c r="K33" i="38"/>
  <c r="B5" i="38"/>
  <c r="K32" i="38"/>
  <c r="B4" i="38"/>
  <c r="K31" i="38"/>
  <c r="B3" i="38"/>
  <c r="K30" i="38"/>
  <c r="B2" i="38"/>
  <c r="K27" i="38"/>
  <c r="K26" i="38"/>
  <c r="K25" i="38"/>
  <c r="K24" i="38"/>
  <c r="K23" i="38"/>
  <c r="K22" i="38"/>
  <c r="K21" i="38"/>
  <c r="K20" i="38"/>
  <c r="K19" i="38"/>
  <c r="K18" i="38"/>
  <c r="K17" i="38"/>
  <c r="K16" i="38"/>
  <c r="T13" i="38"/>
  <c r="K13" i="38"/>
  <c r="T12" i="38"/>
  <c r="K12" i="38"/>
  <c r="T11" i="38"/>
  <c r="K11" i="38"/>
  <c r="T10" i="38"/>
  <c r="K10" i="38"/>
  <c r="T9" i="38"/>
  <c r="K9" i="38"/>
  <c r="T8" i="38"/>
  <c r="K8" i="38"/>
  <c r="T7" i="38"/>
  <c r="K7" i="38"/>
  <c r="T6" i="38"/>
  <c r="K6" i="38"/>
  <c r="T5" i="38"/>
  <c r="K5" i="38"/>
  <c r="T4" i="38"/>
  <c r="K4" i="38"/>
  <c r="T3" i="38"/>
  <c r="K3" i="38"/>
  <c r="T2" i="38"/>
  <c r="K2" i="38"/>
  <c r="K41" i="37"/>
  <c r="B13" i="37"/>
  <c r="K40" i="37"/>
  <c r="B12" i="37"/>
  <c r="K39" i="37"/>
  <c r="B11" i="37"/>
  <c r="K38" i="37"/>
  <c r="B10" i="37"/>
  <c r="K37" i="37"/>
  <c r="B9" i="37"/>
  <c r="K36" i="37"/>
  <c r="B8" i="37"/>
  <c r="K35" i="37"/>
  <c r="B7" i="37"/>
  <c r="K34" i="37"/>
  <c r="B6" i="37"/>
  <c r="K33" i="37"/>
  <c r="B5" i="37"/>
  <c r="K32" i="37"/>
  <c r="B4" i="37"/>
  <c r="K31" i="37"/>
  <c r="B3" i="37"/>
  <c r="K30" i="37"/>
  <c r="B2" i="37"/>
  <c r="K27" i="37"/>
  <c r="K26" i="37"/>
  <c r="K25" i="37"/>
  <c r="K24" i="37"/>
  <c r="K23" i="37"/>
  <c r="K22" i="37"/>
  <c r="K21" i="37"/>
  <c r="K20" i="37"/>
  <c r="K19" i="37"/>
  <c r="K18" i="37"/>
  <c r="K17" i="37"/>
  <c r="K16" i="37"/>
  <c r="T13" i="37"/>
  <c r="K13" i="37"/>
  <c r="T12" i="37"/>
  <c r="K12" i="37"/>
  <c r="T11" i="37"/>
  <c r="K11" i="37"/>
  <c r="T10" i="37"/>
  <c r="K10" i="37"/>
  <c r="T9" i="37"/>
  <c r="K9" i="37"/>
  <c r="T8" i="37"/>
  <c r="K8" i="37"/>
  <c r="T7" i="37"/>
  <c r="K7" i="37"/>
  <c r="T6" i="37"/>
  <c r="K6" i="37"/>
  <c r="T5" i="37"/>
  <c r="K5" i="37"/>
  <c r="T4" i="37"/>
  <c r="K4" i="37"/>
  <c r="T3" i="37"/>
  <c r="K3" i="37"/>
  <c r="T2" i="37"/>
  <c r="K2" i="37"/>
  <c r="K41" i="36" l="1"/>
  <c r="B13" i="36"/>
  <c r="K40" i="36"/>
  <c r="B12" i="36"/>
  <c r="K39" i="36"/>
  <c r="B11" i="36"/>
  <c r="K38" i="36"/>
  <c r="B10" i="36"/>
  <c r="K37" i="36"/>
  <c r="B9" i="36"/>
  <c r="K36" i="36"/>
  <c r="B8" i="36"/>
  <c r="K35" i="36"/>
  <c r="B7" i="36"/>
  <c r="K34" i="36"/>
  <c r="B6" i="36"/>
  <c r="K33" i="36"/>
  <c r="B5" i="36"/>
  <c r="K32" i="36"/>
  <c r="B4" i="36"/>
  <c r="K31" i="36"/>
  <c r="B3" i="36"/>
  <c r="K30" i="36"/>
  <c r="B2" i="36"/>
  <c r="K27" i="36"/>
  <c r="K26" i="36"/>
  <c r="K25" i="36"/>
  <c r="K24" i="36"/>
  <c r="K23" i="36"/>
  <c r="K22" i="36"/>
  <c r="K21" i="36"/>
  <c r="K20" i="36"/>
  <c r="K19" i="36"/>
  <c r="K18" i="36"/>
  <c r="K17" i="36"/>
  <c r="K16" i="36"/>
  <c r="T13" i="36"/>
  <c r="K13" i="36"/>
  <c r="T12" i="36"/>
  <c r="K12" i="36"/>
  <c r="T11" i="36"/>
  <c r="K11" i="36"/>
  <c r="T10" i="36"/>
  <c r="K10" i="36"/>
  <c r="T9" i="36"/>
  <c r="K9" i="36"/>
  <c r="T8" i="36"/>
  <c r="K8" i="36"/>
  <c r="T7" i="36"/>
  <c r="K7" i="36"/>
  <c r="T6" i="36"/>
  <c r="K6" i="36"/>
  <c r="T5" i="36"/>
  <c r="K5" i="36"/>
  <c r="T4" i="36"/>
  <c r="K4" i="36"/>
  <c r="T3" i="36"/>
  <c r="K3" i="36"/>
  <c r="T2" i="36"/>
  <c r="K2" i="36"/>
  <c r="K41" i="35" l="1"/>
  <c r="B13" i="35"/>
  <c r="K40" i="35"/>
  <c r="B12" i="35"/>
  <c r="K39" i="35"/>
  <c r="B11" i="35"/>
  <c r="K38" i="35"/>
  <c r="B10" i="35"/>
  <c r="K37" i="35"/>
  <c r="B9" i="35"/>
  <c r="K36" i="35"/>
  <c r="B8" i="35"/>
  <c r="K35" i="35"/>
  <c r="B7" i="35"/>
  <c r="K34" i="35"/>
  <c r="B6" i="35"/>
  <c r="K33" i="35"/>
  <c r="B5" i="35"/>
  <c r="K32" i="35"/>
  <c r="B4" i="35"/>
  <c r="K31" i="35"/>
  <c r="B3" i="35"/>
  <c r="K30" i="35"/>
  <c r="B2" i="35"/>
  <c r="K27" i="35"/>
  <c r="K26" i="35"/>
  <c r="K25" i="35"/>
  <c r="K24" i="35"/>
  <c r="K23" i="35"/>
  <c r="K22" i="35"/>
  <c r="K21" i="35"/>
  <c r="K20" i="35"/>
  <c r="K19" i="35"/>
  <c r="K18" i="35"/>
  <c r="K17" i="35"/>
  <c r="K16" i="35"/>
  <c r="T13" i="35"/>
  <c r="K13" i="35"/>
  <c r="T12" i="35"/>
  <c r="K12" i="35"/>
  <c r="T11" i="35"/>
  <c r="K11" i="35"/>
  <c r="T10" i="35"/>
  <c r="K10" i="35"/>
  <c r="T9" i="35"/>
  <c r="K9" i="35"/>
  <c r="T8" i="35"/>
  <c r="K8" i="35"/>
  <c r="T7" i="35"/>
  <c r="K7" i="35"/>
  <c r="T6" i="35"/>
  <c r="K6" i="35"/>
  <c r="T5" i="35"/>
  <c r="K5" i="35"/>
  <c r="T4" i="35"/>
  <c r="K4" i="35"/>
  <c r="T3" i="35"/>
  <c r="K3" i="35"/>
  <c r="T2" i="35"/>
  <c r="K2" i="35"/>
  <c r="T13" i="27"/>
  <c r="T12" i="27"/>
  <c r="T11" i="27"/>
  <c r="T10" i="27"/>
  <c r="T9" i="27"/>
  <c r="T8" i="27"/>
  <c r="T7" i="27"/>
  <c r="T6" i="27"/>
  <c r="T5" i="27"/>
  <c r="T4" i="27"/>
  <c r="T3" i="27"/>
  <c r="T2" i="27"/>
  <c r="K41" i="27"/>
  <c r="K40" i="27"/>
  <c r="K39" i="27"/>
  <c r="K38" i="27"/>
  <c r="K37" i="27"/>
  <c r="K36" i="27"/>
  <c r="K35" i="27"/>
  <c r="K34" i="27"/>
  <c r="K33" i="27"/>
  <c r="K32" i="27"/>
  <c r="K31" i="27"/>
  <c r="K30" i="27"/>
  <c r="K27" i="27"/>
  <c r="K26" i="27"/>
  <c r="K25" i="27"/>
  <c r="K24" i="27"/>
  <c r="K23" i="27"/>
  <c r="K22" i="27"/>
  <c r="K21" i="27"/>
  <c r="K20" i="27"/>
  <c r="K19" i="27"/>
  <c r="K18" i="27"/>
  <c r="K17" i="27"/>
  <c r="K16" i="27"/>
  <c r="K13" i="27"/>
  <c r="K12" i="27"/>
  <c r="K11" i="27"/>
  <c r="K10" i="27"/>
  <c r="K9" i="27"/>
  <c r="K8" i="27"/>
  <c r="K7" i="27"/>
  <c r="K6" i="27"/>
  <c r="K5" i="27"/>
  <c r="K4" i="27"/>
  <c r="K3" i="27"/>
  <c r="K2" i="27"/>
  <c r="B13" i="27"/>
  <c r="B12" i="27"/>
  <c r="B11" i="27"/>
  <c r="B10" i="27"/>
  <c r="B9" i="27"/>
  <c r="B8" i="27"/>
  <c r="B7" i="27"/>
  <c r="B6" i="27"/>
  <c r="B5" i="27"/>
  <c r="B4" i="27"/>
  <c r="B3" i="27"/>
  <c r="B2" i="27"/>
  <c r="R1" i="26"/>
  <c r="S1" i="26" s="1"/>
  <c r="T1" i="26" s="1"/>
  <c r="U1" i="26" s="1"/>
  <c r="V1" i="26" s="1"/>
  <c r="W1" i="26" s="1"/>
  <c r="X1" i="26" s="1"/>
  <c r="Y1" i="26" s="1"/>
  <c r="Z1" i="26" s="1"/>
  <c r="AA1" i="26" s="1"/>
  <c r="AB1" i="26" s="1"/>
  <c r="N22" i="26"/>
  <c r="C2" i="34"/>
  <c r="D2" i="34" s="1"/>
  <c r="E2" i="34" s="1"/>
  <c r="F2" i="34" s="1"/>
  <c r="G2" i="34" s="1"/>
  <c r="H2" i="34" s="1"/>
  <c r="I2" i="34" s="1"/>
  <c r="J2" i="34" s="1"/>
  <c r="C2" i="52"/>
  <c r="D2" i="52" s="1"/>
  <c r="E2" i="52" s="1"/>
  <c r="F2" i="52" s="1"/>
  <c r="G2" i="52" s="1"/>
  <c r="H2" i="52" s="1"/>
  <c r="I2" i="52" s="1"/>
  <c r="J2" i="52" s="1"/>
  <c r="X1" i="31" l="1"/>
  <c r="W1" i="31"/>
  <c r="V1" i="31"/>
  <c r="U1" i="31"/>
  <c r="T1" i="31"/>
  <c r="S1" i="31"/>
  <c r="R1" i="31"/>
  <c r="Q1" i="31"/>
  <c r="X4" i="30"/>
  <c r="W4" i="30"/>
  <c r="V4" i="30"/>
  <c r="U4" i="30"/>
  <c r="T4" i="30"/>
  <c r="S4" i="30"/>
  <c r="R4" i="30"/>
  <c r="Q4" i="30"/>
  <c r="X3" i="30"/>
  <c r="W3" i="30"/>
  <c r="V3" i="30"/>
  <c r="U3" i="30"/>
  <c r="T3" i="30"/>
  <c r="S3" i="30"/>
  <c r="R3" i="30"/>
  <c r="Q3" i="30"/>
  <c r="X2" i="30"/>
  <c r="W2" i="30"/>
  <c r="V2" i="30"/>
  <c r="U2" i="30"/>
  <c r="T2" i="30"/>
  <c r="S2" i="30"/>
  <c r="R2" i="30"/>
  <c r="Q2" i="30"/>
  <c r="X1" i="30"/>
  <c r="W1" i="30"/>
  <c r="V1" i="30"/>
  <c r="U1" i="30"/>
  <c r="T1" i="30"/>
  <c r="S1" i="30"/>
  <c r="R1" i="30"/>
  <c r="Q1" i="30"/>
  <c r="A1" i="29"/>
  <c r="P2" i="28"/>
  <c r="P3" i="28" s="1"/>
  <c r="P4" i="28" s="1"/>
  <c r="P5" i="28" s="1"/>
  <c r="P6" i="28" s="1"/>
  <c r="P7" i="28" s="1"/>
  <c r="P8" i="28" s="1"/>
  <c r="P9" i="28" s="1"/>
  <c r="A7" i="28"/>
  <c r="A13" i="28" s="1"/>
  <c r="A19" i="28" s="1"/>
  <c r="A25" i="28" s="1"/>
  <c r="A31" i="28" s="1"/>
  <c r="A37" i="28" s="1"/>
  <c r="A43" i="28" s="1"/>
  <c r="A49" i="28" s="1"/>
  <c r="B17" i="26"/>
  <c r="B23" i="26" s="1"/>
  <c r="B29" i="26" s="1"/>
  <c r="B35" i="26" s="1"/>
  <c r="B41" i="26" s="1"/>
  <c r="B47" i="26" s="1"/>
  <c r="B53" i="26" s="1"/>
  <c r="B12" i="26"/>
  <c r="B18" i="26" s="1"/>
  <c r="B24" i="26" s="1"/>
  <c r="B30" i="26" s="1"/>
  <c r="B36" i="26" s="1"/>
  <c r="B42" i="26" s="1"/>
  <c r="B48" i="26" s="1"/>
  <c r="B54" i="26" s="1"/>
  <c r="B11" i="26"/>
  <c r="B10" i="26"/>
  <c r="B16" i="26" s="1"/>
  <c r="B22" i="26" s="1"/>
  <c r="B28" i="26" s="1"/>
  <c r="B34" i="26" s="1"/>
  <c r="B40" i="26" s="1"/>
  <c r="B46" i="26" s="1"/>
  <c r="B52" i="26" s="1"/>
  <c r="B9" i="26"/>
  <c r="B15" i="26" s="1"/>
  <c r="B21" i="26" s="1"/>
  <c r="B27" i="26" s="1"/>
  <c r="B33" i="26" s="1"/>
  <c r="B39" i="26" s="1"/>
  <c r="B45" i="26" s="1"/>
  <c r="B51" i="26" s="1"/>
  <c r="B8" i="26"/>
  <c r="B14" i="26" s="1"/>
  <c r="B20" i="26" s="1"/>
  <c r="B26" i="26" s="1"/>
  <c r="B32" i="26" s="1"/>
  <c r="B38" i="26" s="1"/>
  <c r="B44" i="26" s="1"/>
  <c r="B50" i="26" s="1"/>
  <c r="Q2" i="25"/>
  <c r="M7" i="22"/>
  <c r="M13" i="22" s="1"/>
  <c r="M19" i="22" s="1"/>
  <c r="M25" i="22" s="1"/>
  <c r="M31" i="22" s="1"/>
  <c r="M37" i="22" s="1"/>
  <c r="M43" i="22" s="1"/>
  <c r="M49" i="22" s="1"/>
  <c r="L7" i="22"/>
  <c r="L13" i="22" s="1"/>
  <c r="L19" i="22" s="1"/>
  <c r="L25" i="22" s="1"/>
  <c r="L31" i="22" s="1"/>
  <c r="L37" i="22" s="1"/>
  <c r="L43" i="22" s="1"/>
  <c r="L49" i="22" s="1"/>
  <c r="K7" i="22"/>
  <c r="K13" i="22" s="1"/>
  <c r="K19" i="22" s="1"/>
  <c r="K25" i="22" s="1"/>
  <c r="K31" i="22" s="1"/>
  <c r="K37" i="22" s="1"/>
  <c r="K43" i="22" s="1"/>
  <c r="K49" i="22" s="1"/>
  <c r="J7" i="22"/>
  <c r="J13" i="22" s="1"/>
  <c r="J19" i="22" s="1"/>
  <c r="J25" i="22" s="1"/>
  <c r="J31" i="22" s="1"/>
  <c r="J37" i="22" s="1"/>
  <c r="J43" i="22" s="1"/>
  <c r="J49" i="22" s="1"/>
  <c r="I7" i="22"/>
  <c r="I13" i="22" s="1"/>
  <c r="I19" i="22" s="1"/>
  <c r="I25" i="22" s="1"/>
  <c r="I31" i="22" s="1"/>
  <c r="I37" i="22" s="1"/>
  <c r="I43" i="22" s="1"/>
  <c r="I49" i="22" s="1"/>
  <c r="H7" i="22"/>
  <c r="H13" i="22" s="1"/>
  <c r="H19" i="22" s="1"/>
  <c r="H25" i="22" s="1"/>
  <c r="H31" i="22" s="1"/>
  <c r="H37" i="22" s="1"/>
  <c r="H43" i="22" s="1"/>
  <c r="H49" i="22" s="1"/>
  <c r="G7" i="22"/>
  <c r="G13" i="22" s="1"/>
  <c r="G19" i="22" s="1"/>
  <c r="G25" i="22" s="1"/>
  <c r="G31" i="22" s="1"/>
  <c r="G37" i="22" s="1"/>
  <c r="G43" i="22" s="1"/>
  <c r="G49" i="22" s="1"/>
  <c r="F7" i="22"/>
  <c r="F13" i="22" s="1"/>
  <c r="F19" i="22" s="1"/>
  <c r="F25" i="22" s="1"/>
  <c r="F31" i="22" s="1"/>
  <c r="F37" i="22" s="1"/>
  <c r="F43" i="22" s="1"/>
  <c r="F49" i="22" s="1"/>
  <c r="E7" i="22"/>
  <c r="E13" i="22" s="1"/>
  <c r="E19" i="22" s="1"/>
  <c r="E25" i="22" s="1"/>
  <c r="E31" i="22" s="1"/>
  <c r="E37" i="22" s="1"/>
  <c r="E43" i="22" s="1"/>
  <c r="E49" i="22" s="1"/>
  <c r="D7" i="22"/>
  <c r="D13" i="22" s="1"/>
  <c r="D19" i="22" s="1"/>
  <c r="D25" i="22" s="1"/>
  <c r="D31" i="22" s="1"/>
  <c r="D37" i="22" s="1"/>
  <c r="D43" i="22" s="1"/>
  <c r="D49" i="22" s="1"/>
  <c r="C7" i="22"/>
  <c r="C13" i="22" s="1"/>
  <c r="C19" i="22" s="1"/>
  <c r="C25" i="22" s="1"/>
  <c r="C31" i="22" s="1"/>
  <c r="C37" i="22" s="1"/>
  <c r="C43" i="22" s="1"/>
  <c r="C49" i="22" s="1"/>
  <c r="B7" i="22"/>
  <c r="B13" i="22" s="1"/>
  <c r="B19" i="22" s="1"/>
  <c r="B25" i="22" s="1"/>
  <c r="B31" i="22" s="1"/>
  <c r="B37" i="22" s="1"/>
  <c r="B43" i="22" s="1"/>
  <c r="B49" i="22" s="1"/>
  <c r="Q2" i="22"/>
  <c r="R2" i="22" s="1"/>
  <c r="A49" i="23"/>
  <c r="A49" i="24" s="1"/>
  <c r="A49" i="25" s="1"/>
  <c r="A49" i="26" s="1"/>
  <c r="A43" i="23"/>
  <c r="A43" i="24" s="1"/>
  <c r="A43" i="25" s="1"/>
  <c r="A43" i="26" s="1"/>
  <c r="A37" i="23"/>
  <c r="A37" i="24" s="1"/>
  <c r="A37" i="25" s="1"/>
  <c r="A37" i="26" s="1"/>
  <c r="A31" i="23"/>
  <c r="A31" i="24" s="1"/>
  <c r="A31" i="25" s="1"/>
  <c r="A31" i="26" s="1"/>
  <c r="A25" i="23"/>
  <c r="A25" i="24" s="1"/>
  <c r="A25" i="25" s="1"/>
  <c r="A25" i="26" s="1"/>
  <c r="A19" i="23"/>
  <c r="A19" i="24" s="1"/>
  <c r="A19" i="25" s="1"/>
  <c r="A19" i="26" s="1"/>
  <c r="A13" i="23"/>
  <c r="A13" i="24" s="1"/>
  <c r="A13" i="25" s="1"/>
  <c r="A13" i="26" s="1"/>
  <c r="A7" i="23"/>
  <c r="A7" i="24" s="1"/>
  <c r="A7" i="25" s="1"/>
  <c r="A7" i="26" s="1"/>
  <c r="R9" i="23"/>
  <c r="R8" i="23"/>
  <c r="R7" i="23"/>
  <c r="R6" i="23"/>
  <c r="R5" i="23"/>
  <c r="R4" i="23"/>
  <c r="R3" i="23"/>
  <c r="R2" i="23"/>
  <c r="R1" i="22"/>
  <c r="R1" i="23" s="1"/>
  <c r="P2" i="32"/>
  <c r="P3" i="32"/>
  <c r="P1" i="31"/>
  <c r="P4" i="30"/>
  <c r="P3" i="30"/>
  <c r="P2" i="30"/>
  <c r="P1" i="30"/>
  <c r="Q1" i="28"/>
  <c r="Q2" i="28" s="1"/>
  <c r="Q3" i="28" s="1"/>
  <c r="Q4" i="28" s="1"/>
  <c r="Q5" i="28" s="1"/>
  <c r="Q6" i="28" s="1"/>
  <c r="Q7" i="28" s="1"/>
  <c r="Q8" i="28" s="1"/>
  <c r="Q9" i="28" s="1"/>
  <c r="R1" i="25"/>
  <c r="Q1" i="23"/>
  <c r="M1" i="23"/>
  <c r="L1" i="23"/>
  <c r="K1" i="23"/>
  <c r="J1" i="23"/>
  <c r="I1" i="23"/>
  <c r="H1" i="23"/>
  <c r="G1" i="23"/>
  <c r="F1" i="23"/>
  <c r="E1" i="23"/>
  <c r="D1" i="23"/>
  <c r="C1" i="23"/>
  <c r="B1" i="23"/>
  <c r="B6" i="22"/>
  <c r="B32" i="59" s="1"/>
  <c r="B5" i="22"/>
  <c r="B31" i="59" s="1"/>
  <c r="B4" i="22"/>
  <c r="B30" i="59" s="1"/>
  <c r="B3" i="22"/>
  <c r="B29" i="59" s="1"/>
  <c r="B2" i="22"/>
  <c r="M8" i="4"/>
  <c r="L8" i="4"/>
  <c r="K8" i="4"/>
  <c r="J8" i="4"/>
  <c r="I8" i="4"/>
  <c r="H8" i="4"/>
  <c r="G8" i="4"/>
  <c r="F8" i="4"/>
  <c r="E8" i="4"/>
  <c r="D8" i="4"/>
  <c r="C8" i="4"/>
  <c r="B8" i="4"/>
  <c r="N7" i="4"/>
  <c r="N7" i="59" s="1"/>
  <c r="N6" i="4"/>
  <c r="N6" i="59" s="1"/>
  <c r="N5" i="4"/>
  <c r="N5" i="59" s="1"/>
  <c r="N4" i="4"/>
  <c r="N4" i="59" s="1"/>
  <c r="N3" i="4"/>
  <c r="N3" i="59" s="1"/>
  <c r="A8" i="53"/>
  <c r="C5" i="54"/>
  <c r="A7" i="29" l="1"/>
  <c r="A13" i="29" s="1"/>
  <c r="A19" i="29" s="1"/>
  <c r="A25" i="29" s="1"/>
  <c r="A31" i="29" s="1"/>
  <c r="A37" i="29" s="1"/>
  <c r="A43" i="29" s="1"/>
  <c r="A49" i="29" s="1"/>
  <c r="A75" i="59"/>
  <c r="A1" i="30"/>
  <c r="A1" i="31" s="1"/>
  <c r="J7" i="23"/>
  <c r="J13" i="23" s="1"/>
  <c r="J35" i="59"/>
  <c r="H7" i="23"/>
  <c r="H13" i="23" s="1"/>
  <c r="H19" i="23" s="1"/>
  <c r="H25" i="23" s="1"/>
  <c r="H31" i="23" s="1"/>
  <c r="H37" i="23" s="1"/>
  <c r="H43" i="23" s="1"/>
  <c r="H49" i="23" s="1"/>
  <c r="H49" i="24" s="1"/>
  <c r="H49" i="25" s="1"/>
  <c r="H49" i="26" s="1"/>
  <c r="H35" i="59"/>
  <c r="B7" i="23"/>
  <c r="B13" i="23" s="1"/>
  <c r="B35" i="59"/>
  <c r="I1" i="28"/>
  <c r="I7" i="28" s="1"/>
  <c r="I13" i="28" s="1"/>
  <c r="I19" i="28" s="1"/>
  <c r="I25" i="28" s="1"/>
  <c r="I31" i="28" s="1"/>
  <c r="I37" i="28" s="1"/>
  <c r="I43" i="28" s="1"/>
  <c r="I49" i="28" s="1"/>
  <c r="I35" i="59"/>
  <c r="C1" i="24"/>
  <c r="C35" i="59"/>
  <c r="K7" i="23"/>
  <c r="K13" i="23" s="1"/>
  <c r="K19" i="23" s="1"/>
  <c r="K25" i="23" s="1"/>
  <c r="K31" i="23" s="1"/>
  <c r="K37" i="23" s="1"/>
  <c r="K43" i="23" s="1"/>
  <c r="K49" i="23" s="1"/>
  <c r="K49" i="24" s="1"/>
  <c r="K49" i="25" s="1"/>
  <c r="K49" i="26" s="1"/>
  <c r="K35" i="59"/>
  <c r="L1" i="24"/>
  <c r="L43" i="59" s="1"/>
  <c r="L35" i="59"/>
  <c r="D1" i="28"/>
  <c r="D7" i="28" s="1"/>
  <c r="D13" i="28" s="1"/>
  <c r="D19" i="28" s="1"/>
  <c r="D25" i="28" s="1"/>
  <c r="D31" i="28" s="1"/>
  <c r="D37" i="28" s="1"/>
  <c r="D43" i="28" s="1"/>
  <c r="D49" i="28" s="1"/>
  <c r="D35" i="59"/>
  <c r="E1" i="24"/>
  <c r="E35" i="59"/>
  <c r="M1" i="24"/>
  <c r="M35" i="59"/>
  <c r="F1" i="24"/>
  <c r="F43" i="59" s="1"/>
  <c r="F35" i="59"/>
  <c r="G1" i="28"/>
  <c r="G7" i="28" s="1"/>
  <c r="G13" i="28" s="1"/>
  <c r="G19" i="28" s="1"/>
  <c r="G25" i="28" s="1"/>
  <c r="G31" i="28" s="1"/>
  <c r="G37" i="28" s="1"/>
  <c r="G43" i="28" s="1"/>
  <c r="G49" i="28" s="1"/>
  <c r="G35" i="59"/>
  <c r="B8" i="22"/>
  <c r="B28" i="59"/>
  <c r="B33" i="59" s="1"/>
  <c r="I1" i="53"/>
  <c r="I2" i="57"/>
  <c r="I108" i="59" s="1"/>
  <c r="I2" i="58"/>
  <c r="I124" i="59" s="1"/>
  <c r="B1" i="53"/>
  <c r="B2" i="57"/>
  <c r="B108" i="59" s="1"/>
  <c r="B2" i="58"/>
  <c r="B124" i="59" s="1"/>
  <c r="J1" i="53"/>
  <c r="J2" i="57"/>
  <c r="J108" i="59" s="1"/>
  <c r="J2" i="58"/>
  <c r="J124" i="59" s="1"/>
  <c r="A6" i="59"/>
  <c r="A15" i="59" s="1"/>
  <c r="C6" i="54"/>
  <c r="N8" i="59"/>
  <c r="K1" i="53"/>
  <c r="K2" i="57"/>
  <c r="K108" i="59" s="1"/>
  <c r="K2" i="58"/>
  <c r="K124" i="59" s="1"/>
  <c r="C7" i="54"/>
  <c r="B4" i="23"/>
  <c r="B38" i="59" s="1"/>
  <c r="H1" i="53"/>
  <c r="H2" i="57"/>
  <c r="H108" i="59" s="1"/>
  <c r="H2" i="58"/>
  <c r="H124" i="59" s="1"/>
  <c r="C1" i="53"/>
  <c r="C2" i="57"/>
  <c r="C108" i="59" s="1"/>
  <c r="C2" i="58"/>
  <c r="C124" i="59" s="1"/>
  <c r="D1" i="53"/>
  <c r="D2" i="57"/>
  <c r="D108" i="59" s="1"/>
  <c r="D2" i="58"/>
  <c r="D124" i="59" s="1"/>
  <c r="L1" i="53"/>
  <c r="L2" i="57"/>
  <c r="L108" i="59" s="1"/>
  <c r="L2" i="58"/>
  <c r="L124" i="59" s="1"/>
  <c r="A4" i="59"/>
  <c r="A13" i="59" s="1"/>
  <c r="C4" i="54"/>
  <c r="A3" i="59"/>
  <c r="A12" i="59" s="1"/>
  <c r="C3" i="54"/>
  <c r="E1" i="53"/>
  <c r="E2" i="57"/>
  <c r="E108" i="59" s="1"/>
  <c r="E2" i="58"/>
  <c r="E124" i="59" s="1"/>
  <c r="M1" i="53"/>
  <c r="M2" i="58"/>
  <c r="M124" i="59" s="1"/>
  <c r="M2" i="57"/>
  <c r="M108" i="59" s="1"/>
  <c r="F1" i="53"/>
  <c r="F2" i="58"/>
  <c r="F124" i="59" s="1"/>
  <c r="F2" i="57"/>
  <c r="F108" i="59" s="1"/>
  <c r="G1" i="53"/>
  <c r="G2" i="58"/>
  <c r="G124" i="59" s="1"/>
  <c r="G2" i="57"/>
  <c r="G108" i="59" s="1"/>
  <c r="B10" i="22"/>
  <c r="B16" i="22" s="1"/>
  <c r="N16" i="45" s="1"/>
  <c r="A6" i="22"/>
  <c r="A32" i="59" s="1"/>
  <c r="A7" i="59"/>
  <c r="A16" i="59" s="1"/>
  <c r="A5" i="22"/>
  <c r="A4" i="22"/>
  <c r="A30" i="59" s="1"/>
  <c r="A5" i="59"/>
  <c r="A14" i="59" s="1"/>
  <c r="A3" i="22"/>
  <c r="A9" i="22" s="1"/>
  <c r="A15" i="22" s="1"/>
  <c r="A21" i="22" s="1"/>
  <c r="A27" i="22" s="1"/>
  <c r="A33" i="22" s="1"/>
  <c r="A39" i="22" s="1"/>
  <c r="A45" i="22" s="1"/>
  <c r="A51" i="22" s="1"/>
  <c r="C2" i="35"/>
  <c r="B14" i="22"/>
  <c r="C5" i="22"/>
  <c r="C31" i="59" s="1"/>
  <c r="N30" i="43"/>
  <c r="L30" i="27"/>
  <c r="A5" i="23"/>
  <c r="A39" i="59" s="1"/>
  <c r="A3" i="53"/>
  <c r="A141" i="59" s="1"/>
  <c r="A3" i="34"/>
  <c r="A133" i="59" s="1"/>
  <c r="A3" i="52"/>
  <c r="C4" i="22"/>
  <c r="C30" i="59" s="1"/>
  <c r="N16" i="43"/>
  <c r="L16" i="27"/>
  <c r="C6" i="22"/>
  <c r="C32" i="59" s="1"/>
  <c r="Y2" i="43"/>
  <c r="U2" i="27"/>
  <c r="H19" i="24"/>
  <c r="H19" i="25" s="1"/>
  <c r="H19" i="26" s="1"/>
  <c r="H25" i="24"/>
  <c r="H25" i="25" s="1"/>
  <c r="H25" i="26" s="1"/>
  <c r="H31" i="24"/>
  <c r="H31" i="25" s="1"/>
  <c r="H31" i="26" s="1"/>
  <c r="H37" i="24"/>
  <c r="H37" i="25" s="1"/>
  <c r="H37" i="26" s="1"/>
  <c r="H43" i="24"/>
  <c r="H43" i="25" s="1"/>
  <c r="H43" i="26" s="1"/>
  <c r="Q3" i="25"/>
  <c r="K19" i="24"/>
  <c r="K19" i="25" s="1"/>
  <c r="K19" i="26" s="1"/>
  <c r="A4" i="53"/>
  <c r="A142" i="59" s="1"/>
  <c r="A4" i="34"/>
  <c r="A134" i="59" s="1"/>
  <c r="A4" i="52"/>
  <c r="A6" i="53"/>
  <c r="A144" i="59" s="1"/>
  <c r="A6" i="34"/>
  <c r="A136" i="59" s="1"/>
  <c r="A6" i="52"/>
  <c r="B2" i="23"/>
  <c r="B36" i="59" s="1"/>
  <c r="B6" i="23"/>
  <c r="B40" i="59" s="1"/>
  <c r="B12" i="22"/>
  <c r="H13" i="24"/>
  <c r="H13" i="25" s="1"/>
  <c r="H13" i="26" s="1"/>
  <c r="R2" i="25"/>
  <c r="C8" i="22"/>
  <c r="C3" i="22"/>
  <c r="C29" i="59" s="1"/>
  <c r="N2" i="43"/>
  <c r="L2" i="27"/>
  <c r="K25" i="24"/>
  <c r="K25" i="25" s="1"/>
  <c r="K25" i="26" s="1"/>
  <c r="K31" i="24"/>
  <c r="K31" i="25" s="1"/>
  <c r="K31" i="26" s="1"/>
  <c r="K37" i="24"/>
  <c r="K37" i="25" s="1"/>
  <c r="K37" i="26" s="1"/>
  <c r="K43" i="24"/>
  <c r="K43" i="25" s="1"/>
  <c r="K43" i="26" s="1"/>
  <c r="A5" i="53"/>
  <c r="A143" i="59" s="1"/>
  <c r="A5" i="52"/>
  <c r="A5" i="34"/>
  <c r="A135" i="59" s="1"/>
  <c r="A7" i="53"/>
  <c r="A145" i="59" s="1"/>
  <c r="A7" i="52"/>
  <c r="A7" i="34"/>
  <c r="A137" i="59" s="1"/>
  <c r="A2" i="22"/>
  <c r="A28" i="59" s="1"/>
  <c r="C2" i="22"/>
  <c r="C28" i="59" s="1"/>
  <c r="C2" i="27"/>
  <c r="B3" i="23"/>
  <c r="Q3" i="22"/>
  <c r="B9" i="22"/>
  <c r="B11" i="22"/>
  <c r="B5" i="23"/>
  <c r="B5" i="28" s="1"/>
  <c r="N22" i="22"/>
  <c r="B1" i="28"/>
  <c r="B67" i="59" s="1"/>
  <c r="J1" i="28"/>
  <c r="J67" i="59" s="1"/>
  <c r="C7" i="23"/>
  <c r="C13" i="23" s="1"/>
  <c r="H1" i="24"/>
  <c r="E7" i="23"/>
  <c r="E13" i="23" s="1"/>
  <c r="C1" i="25"/>
  <c r="D1" i="24"/>
  <c r="D43" i="59" s="1"/>
  <c r="D7" i="23"/>
  <c r="D13" i="23" s="1"/>
  <c r="L1" i="28"/>
  <c r="L67" i="59" s="1"/>
  <c r="L7" i="23"/>
  <c r="L13" i="23" s="1"/>
  <c r="A1" i="23"/>
  <c r="E1" i="25"/>
  <c r="F1" i="25"/>
  <c r="F1" i="28"/>
  <c r="F67" i="59" s="1"/>
  <c r="F7" i="23"/>
  <c r="F13" i="23" s="1"/>
  <c r="M1" i="25"/>
  <c r="M51" i="59" s="1"/>
  <c r="G1" i="24"/>
  <c r="G43" i="59" s="1"/>
  <c r="B6" i="24"/>
  <c r="C1" i="28"/>
  <c r="C67" i="59" s="1"/>
  <c r="K1" i="28"/>
  <c r="K67" i="59" s="1"/>
  <c r="M7" i="23"/>
  <c r="M13" i="23" s="1"/>
  <c r="I1" i="24"/>
  <c r="I43" i="59" s="1"/>
  <c r="E1" i="28"/>
  <c r="E67" i="59" s="1"/>
  <c r="M1" i="28"/>
  <c r="M67" i="59" s="1"/>
  <c r="B1" i="24"/>
  <c r="B43" i="59" s="1"/>
  <c r="J1" i="24"/>
  <c r="J43" i="59" s="1"/>
  <c r="G7" i="23"/>
  <c r="G13" i="23" s="1"/>
  <c r="K1" i="24"/>
  <c r="K43" i="59" s="1"/>
  <c r="I7" i="23"/>
  <c r="I13" i="23" s="1"/>
  <c r="H1" i="28"/>
  <c r="H67" i="59" s="1"/>
  <c r="N8" i="4"/>
  <c r="A7" i="30" l="1"/>
  <c r="A83" i="59"/>
  <c r="A1" i="32"/>
  <c r="A99" i="59" s="1"/>
  <c r="A91" i="59"/>
  <c r="B6" i="28"/>
  <c r="B6" i="29" s="1"/>
  <c r="AB2" i="43" s="1"/>
  <c r="K13" i="24"/>
  <c r="K13" i="25" s="1"/>
  <c r="K13" i="26" s="1"/>
  <c r="B6" i="25"/>
  <c r="C6" i="26" s="1"/>
  <c r="D3" i="22"/>
  <c r="D29" i="59" s="1"/>
  <c r="A6" i="23"/>
  <c r="A40" i="59" s="1"/>
  <c r="A12" i="22"/>
  <c r="A18" i="22" s="1"/>
  <c r="A24" i="22" s="1"/>
  <c r="A30" i="22" s="1"/>
  <c r="A36" i="22" s="1"/>
  <c r="A42" i="22" s="1"/>
  <c r="A48" i="22" s="1"/>
  <c r="A54" i="22" s="1"/>
  <c r="B6" i="30"/>
  <c r="AC2" i="43" s="1"/>
  <c r="L16" i="35"/>
  <c r="N16" i="44"/>
  <c r="C10" i="22"/>
  <c r="D10" i="22" s="1"/>
  <c r="B22" i="22"/>
  <c r="L16" i="36"/>
  <c r="D2" i="22"/>
  <c r="D28" i="59" s="1"/>
  <c r="D6" i="22"/>
  <c r="D32" i="59" s="1"/>
  <c r="C6" i="23"/>
  <c r="C40" i="59" s="1"/>
  <c r="C33" i="59"/>
  <c r="A4" i="23"/>
  <c r="A10" i="23" s="1"/>
  <c r="B4" i="24"/>
  <c r="N16" i="27" s="1"/>
  <c r="L1" i="25"/>
  <c r="B4" i="28"/>
  <c r="B70" i="59" s="1"/>
  <c r="G1" i="29"/>
  <c r="G67" i="59"/>
  <c r="D1" i="29"/>
  <c r="D67" i="59"/>
  <c r="I1" i="29"/>
  <c r="I67" i="59"/>
  <c r="L7" i="24"/>
  <c r="L7" i="25" s="1"/>
  <c r="L7" i="26" s="1"/>
  <c r="G1" i="26"/>
  <c r="G59" i="59" s="1"/>
  <c r="F51" i="59"/>
  <c r="B19" i="23"/>
  <c r="B13" i="24"/>
  <c r="B13" i="25" s="1"/>
  <c r="B13" i="26" s="1"/>
  <c r="B4" i="25"/>
  <c r="O16" i="27" s="1"/>
  <c r="F7" i="24"/>
  <c r="F7" i="25" s="1"/>
  <c r="F7" i="26" s="1"/>
  <c r="F1" i="26"/>
  <c r="F59" i="59" s="1"/>
  <c r="E51" i="59"/>
  <c r="M16" i="27"/>
  <c r="M7" i="24"/>
  <c r="M7" i="25" s="1"/>
  <c r="M7" i="26" s="1"/>
  <c r="M43" i="59"/>
  <c r="A1" i="24"/>
  <c r="A35" i="59"/>
  <c r="O16" i="43"/>
  <c r="D1" i="26"/>
  <c r="D59" i="59" s="1"/>
  <c r="C51" i="59"/>
  <c r="H1" i="25"/>
  <c r="H43" i="59"/>
  <c r="B10" i="23"/>
  <c r="B10" i="24" s="1"/>
  <c r="N16" i="35" s="1"/>
  <c r="A10" i="22"/>
  <c r="A16" i="22" s="1"/>
  <c r="A22" i="22" s="1"/>
  <c r="A28" i="22" s="1"/>
  <c r="A34" i="22" s="1"/>
  <c r="A40" i="22" s="1"/>
  <c r="A46" i="22" s="1"/>
  <c r="A52" i="22" s="1"/>
  <c r="E7" i="24"/>
  <c r="E7" i="25" s="1"/>
  <c r="E7" i="26" s="1"/>
  <c r="E43" i="59"/>
  <c r="C7" i="24"/>
  <c r="C7" i="25" s="1"/>
  <c r="C7" i="26" s="1"/>
  <c r="C43" i="59"/>
  <c r="J19" i="23"/>
  <c r="J13" i="24"/>
  <c r="J13" i="25" s="1"/>
  <c r="J13" i="26" s="1"/>
  <c r="P30" i="43"/>
  <c r="B71" i="59"/>
  <c r="W2" i="27"/>
  <c r="B48" i="59"/>
  <c r="B80" i="59"/>
  <c r="B2" i="25"/>
  <c r="B3" i="28"/>
  <c r="B69" i="59" s="1"/>
  <c r="B37" i="59"/>
  <c r="C5" i="23"/>
  <c r="C39" i="59" s="1"/>
  <c r="C2" i="23"/>
  <c r="C36" i="59" s="1"/>
  <c r="B6" i="31"/>
  <c r="B72" i="59"/>
  <c r="B5" i="25"/>
  <c r="B39" i="59"/>
  <c r="B2" i="24"/>
  <c r="B44" i="59" s="1"/>
  <c r="B2" i="28"/>
  <c r="B68" i="59" s="1"/>
  <c r="A11" i="22"/>
  <c r="A17" i="22" s="1"/>
  <c r="A23" i="22" s="1"/>
  <c r="A29" i="22" s="1"/>
  <c r="A35" i="22" s="1"/>
  <c r="A41" i="22" s="1"/>
  <c r="A47" i="22" s="1"/>
  <c r="A53" i="22" s="1"/>
  <c r="A31" i="59"/>
  <c r="A120" i="59"/>
  <c r="A6" i="58"/>
  <c r="A128" i="59" s="1"/>
  <c r="A6" i="57"/>
  <c r="A112" i="59" s="1"/>
  <c r="A5" i="28"/>
  <c r="A71" i="59" s="1"/>
  <c r="A7" i="58"/>
  <c r="A129" i="59" s="1"/>
  <c r="A121" i="59"/>
  <c r="A7" i="57"/>
  <c r="A113" i="59" s="1"/>
  <c r="A3" i="57"/>
  <c r="A109" i="59" s="1"/>
  <c r="A3" i="58"/>
  <c r="A125" i="59" s="1"/>
  <c r="A117" i="59"/>
  <c r="A3" i="23"/>
  <c r="A29" i="59"/>
  <c r="A119" i="59"/>
  <c r="A5" i="58"/>
  <c r="A127" i="59" s="1"/>
  <c r="A5" i="57"/>
  <c r="A111" i="59" s="1"/>
  <c r="A4" i="57"/>
  <c r="A110" i="59" s="1"/>
  <c r="A4" i="58"/>
  <c r="A126" i="59" s="1"/>
  <c r="A118" i="59"/>
  <c r="E1" i="29"/>
  <c r="E75" i="59" s="1"/>
  <c r="E7" i="28"/>
  <c r="E13" i="28" s="1"/>
  <c r="E19" i="28" s="1"/>
  <c r="E25" i="28" s="1"/>
  <c r="E31" i="28" s="1"/>
  <c r="E37" i="28" s="1"/>
  <c r="E43" i="28" s="1"/>
  <c r="E49" i="28" s="1"/>
  <c r="J1" i="29"/>
  <c r="J75" i="59" s="1"/>
  <c r="J7" i="28"/>
  <c r="J13" i="28" s="1"/>
  <c r="J19" i="28" s="1"/>
  <c r="J25" i="28" s="1"/>
  <c r="J31" i="28" s="1"/>
  <c r="J37" i="28" s="1"/>
  <c r="J43" i="28" s="1"/>
  <c r="J49" i="28" s="1"/>
  <c r="N2" i="44"/>
  <c r="L2" i="35"/>
  <c r="B15" i="22"/>
  <c r="Q4" i="25"/>
  <c r="R3" i="25"/>
  <c r="N17" i="43"/>
  <c r="L17" i="27"/>
  <c r="N31" i="43"/>
  <c r="L31" i="27"/>
  <c r="C2" i="36"/>
  <c r="B20" i="22"/>
  <c r="C4" i="23"/>
  <c r="C38" i="59" s="1"/>
  <c r="C3" i="23"/>
  <c r="C3" i="24" s="1"/>
  <c r="D5" i="22"/>
  <c r="D31" i="59" s="1"/>
  <c r="H1" i="29"/>
  <c r="H75" i="59" s="1"/>
  <c r="H7" i="28"/>
  <c r="H13" i="28" s="1"/>
  <c r="H19" i="28" s="1"/>
  <c r="H25" i="28" s="1"/>
  <c r="H31" i="28" s="1"/>
  <c r="H37" i="28" s="1"/>
  <c r="H43" i="28" s="1"/>
  <c r="H49" i="28" s="1"/>
  <c r="B5" i="30"/>
  <c r="L19" i="23"/>
  <c r="L13" i="24"/>
  <c r="L13" i="25" s="1"/>
  <c r="L13" i="26" s="1"/>
  <c r="E19" i="23"/>
  <c r="E13" i="24"/>
  <c r="E13" i="25" s="1"/>
  <c r="E13" i="26" s="1"/>
  <c r="N30" i="44"/>
  <c r="L30" i="35"/>
  <c r="N3" i="43"/>
  <c r="L3" i="27"/>
  <c r="D8" i="22"/>
  <c r="C3" i="44"/>
  <c r="C3" i="35"/>
  <c r="B12" i="23"/>
  <c r="B12" i="25" s="1"/>
  <c r="X2" i="35" s="1"/>
  <c r="Z2" i="43"/>
  <c r="V2" i="27"/>
  <c r="I19" i="23"/>
  <c r="I13" i="24"/>
  <c r="I13" i="25" s="1"/>
  <c r="I13" i="26" s="1"/>
  <c r="F1" i="29"/>
  <c r="F75" i="59" s="1"/>
  <c r="F7" i="28"/>
  <c r="F13" i="28" s="1"/>
  <c r="F19" i="28" s="1"/>
  <c r="F25" i="28" s="1"/>
  <c r="F31" i="28" s="1"/>
  <c r="F37" i="28" s="1"/>
  <c r="F43" i="28" s="1"/>
  <c r="F49" i="28" s="1"/>
  <c r="B9" i="23"/>
  <c r="O2" i="43"/>
  <c r="M2" i="27"/>
  <c r="AA2" i="43"/>
  <c r="B12" i="28"/>
  <c r="C19" i="23"/>
  <c r="C13" i="24"/>
  <c r="C13" i="25" s="1"/>
  <c r="C13" i="26" s="1"/>
  <c r="B1" i="29"/>
  <c r="B75" i="59" s="1"/>
  <c r="B7" i="28"/>
  <c r="B13" i="28" s="1"/>
  <c r="B19" i="28" s="1"/>
  <c r="B25" i="28" s="1"/>
  <c r="B31" i="28" s="1"/>
  <c r="B37" i="28" s="1"/>
  <c r="B43" i="28" s="1"/>
  <c r="B49" i="28" s="1"/>
  <c r="B3" i="24"/>
  <c r="C9" i="22"/>
  <c r="Q4" i="22"/>
  <c r="R3" i="22"/>
  <c r="C3" i="43"/>
  <c r="C3" i="27"/>
  <c r="A2" i="23"/>
  <c r="A36" i="59" s="1"/>
  <c r="A8" i="22"/>
  <c r="A14" i="22" s="1"/>
  <c r="A20" i="22" s="1"/>
  <c r="A26" i="22" s="1"/>
  <c r="A32" i="22" s="1"/>
  <c r="A38" i="22" s="1"/>
  <c r="A44" i="22" s="1"/>
  <c r="A50" i="22" s="1"/>
  <c r="C12" i="22"/>
  <c r="Y3" i="43"/>
  <c r="U3" i="27"/>
  <c r="A11" i="23"/>
  <c r="A5" i="24"/>
  <c r="O31" i="43"/>
  <c r="M31" i="27"/>
  <c r="N4" i="43"/>
  <c r="L4" i="27"/>
  <c r="C1" i="29"/>
  <c r="C75" i="59" s="1"/>
  <c r="C7" i="28"/>
  <c r="C13" i="28" s="1"/>
  <c r="C19" i="28" s="1"/>
  <c r="C25" i="28" s="1"/>
  <c r="C31" i="28" s="1"/>
  <c r="C37" i="28" s="1"/>
  <c r="C43" i="28" s="1"/>
  <c r="C49" i="28" s="1"/>
  <c r="B11" i="23"/>
  <c r="O30" i="43"/>
  <c r="M30" i="27"/>
  <c r="Y2" i="44"/>
  <c r="U2" i="35"/>
  <c r="B18" i="22"/>
  <c r="B3" i="25"/>
  <c r="B53" i="59" s="1"/>
  <c r="G19" i="23"/>
  <c r="G13" i="24"/>
  <c r="G13" i="25" s="1"/>
  <c r="G13" i="26" s="1"/>
  <c r="M19" i="23"/>
  <c r="M13" i="24"/>
  <c r="M13" i="25" s="1"/>
  <c r="M13" i="26" s="1"/>
  <c r="D4" i="22"/>
  <c r="D30" i="59" s="1"/>
  <c r="M1" i="29"/>
  <c r="M75" i="59" s="1"/>
  <c r="M7" i="28"/>
  <c r="M13" i="28" s="1"/>
  <c r="M19" i="28" s="1"/>
  <c r="M25" i="28" s="1"/>
  <c r="M31" i="28" s="1"/>
  <c r="M37" i="28" s="1"/>
  <c r="M43" i="28" s="1"/>
  <c r="M49" i="28" s="1"/>
  <c r="K1" i="29"/>
  <c r="K75" i="59" s="1"/>
  <c r="K7" i="28"/>
  <c r="K13" i="28" s="1"/>
  <c r="K19" i="28" s="1"/>
  <c r="K25" i="28" s="1"/>
  <c r="K31" i="28" s="1"/>
  <c r="K37" i="28" s="1"/>
  <c r="K43" i="28" s="1"/>
  <c r="K49" i="28" s="1"/>
  <c r="F19" i="23"/>
  <c r="F13" i="24"/>
  <c r="F13" i="25" s="1"/>
  <c r="F13" i="26" s="1"/>
  <c r="L1" i="29"/>
  <c r="L75" i="59" s="1"/>
  <c r="L7" i="28"/>
  <c r="L13" i="28" s="1"/>
  <c r="L19" i="28" s="1"/>
  <c r="L25" i="28" s="1"/>
  <c r="L31" i="28" s="1"/>
  <c r="L37" i="28" s="1"/>
  <c r="L43" i="28" s="1"/>
  <c r="L49" i="28" s="1"/>
  <c r="D19" i="23"/>
  <c r="D13" i="24"/>
  <c r="D13" i="25" s="1"/>
  <c r="D13" i="26" s="1"/>
  <c r="B5" i="24"/>
  <c r="O16" i="44"/>
  <c r="B10" i="25"/>
  <c r="O16" i="35" s="1"/>
  <c r="B8" i="23"/>
  <c r="C8" i="23" s="1"/>
  <c r="D2" i="27"/>
  <c r="N16" i="46"/>
  <c r="L16" i="37"/>
  <c r="B28" i="22"/>
  <c r="B5" i="31"/>
  <c r="B11" i="28"/>
  <c r="B5" i="29"/>
  <c r="C11" i="22"/>
  <c r="B17" i="22"/>
  <c r="N22" i="23"/>
  <c r="O22" i="22"/>
  <c r="H7" i="24"/>
  <c r="H7" i="25" s="1"/>
  <c r="H7" i="26" s="1"/>
  <c r="K7" i="24"/>
  <c r="K7" i="25" s="1"/>
  <c r="K7" i="26" s="1"/>
  <c r="K1" i="25"/>
  <c r="I7" i="24"/>
  <c r="I7" i="25" s="1"/>
  <c r="I7" i="26" s="1"/>
  <c r="I1" i="25"/>
  <c r="J7" i="24"/>
  <c r="J7" i="25" s="1"/>
  <c r="J7" i="26" s="1"/>
  <c r="J1" i="25"/>
  <c r="C5" i="28"/>
  <c r="C71" i="59" s="1"/>
  <c r="G7" i="24"/>
  <c r="G7" i="25" s="1"/>
  <c r="G7" i="26" s="1"/>
  <c r="G1" i="25"/>
  <c r="B7" i="24"/>
  <c r="B7" i="25" s="1"/>
  <c r="B7" i="26" s="1"/>
  <c r="B1" i="25"/>
  <c r="D7" i="24"/>
  <c r="D7" i="25" s="1"/>
  <c r="D7" i="26" s="1"/>
  <c r="D1" i="25"/>
  <c r="E6" i="22"/>
  <c r="E32" i="59" s="1"/>
  <c r="C5" i="24"/>
  <c r="C5" i="25"/>
  <c r="E3" i="22"/>
  <c r="E29" i="59" s="1"/>
  <c r="A13" i="30" l="1"/>
  <c r="A7" i="31"/>
  <c r="A7" i="32" s="1"/>
  <c r="V3" i="27"/>
  <c r="B3" i="30"/>
  <c r="R2" i="43" s="1"/>
  <c r="M16" i="35"/>
  <c r="B16" i="23"/>
  <c r="B22" i="23" s="1"/>
  <c r="B22" i="25" s="1"/>
  <c r="O16" i="37" s="1"/>
  <c r="P16" i="43"/>
  <c r="B4" i="30"/>
  <c r="B10" i="28"/>
  <c r="B16" i="28" s="1"/>
  <c r="B4" i="29"/>
  <c r="B11" i="31"/>
  <c r="S30" i="44" s="1"/>
  <c r="B4" i="31"/>
  <c r="S16" i="43" s="1"/>
  <c r="D5" i="23"/>
  <c r="D39" i="59" s="1"/>
  <c r="E5" i="22"/>
  <c r="E31" i="59" s="1"/>
  <c r="B56" i="59"/>
  <c r="X2" i="27"/>
  <c r="Z3" i="43"/>
  <c r="C6" i="28"/>
  <c r="C6" i="30" s="1"/>
  <c r="AC3" i="43" s="1"/>
  <c r="C6" i="24"/>
  <c r="W3" i="27" s="1"/>
  <c r="C4" i="27"/>
  <c r="A6" i="28"/>
  <c r="A72" i="59" s="1"/>
  <c r="C4" i="43"/>
  <c r="A6" i="24"/>
  <c r="A6" i="25" s="1"/>
  <c r="E2" i="22"/>
  <c r="E28" i="59" s="1"/>
  <c r="C6" i="25"/>
  <c r="X3" i="27" s="1"/>
  <c r="C4" i="26"/>
  <c r="P17" i="27" s="1"/>
  <c r="A12" i="23"/>
  <c r="A12" i="24" s="1"/>
  <c r="A12" i="25" s="1"/>
  <c r="A12" i="26" s="1"/>
  <c r="B3" i="29"/>
  <c r="B77" i="59" s="1"/>
  <c r="E4" i="22"/>
  <c r="E30" i="59" s="1"/>
  <c r="L17" i="35"/>
  <c r="B9" i="28"/>
  <c r="B9" i="30" s="1"/>
  <c r="R2" i="44" s="1"/>
  <c r="C6" i="32"/>
  <c r="C104" i="59" s="1"/>
  <c r="N17" i="44"/>
  <c r="B3" i="31"/>
  <c r="S2" i="43" s="1"/>
  <c r="B88" i="59"/>
  <c r="C4" i="24"/>
  <c r="N17" i="27" s="1"/>
  <c r="D6" i="23"/>
  <c r="D40" i="59" s="1"/>
  <c r="B8" i="28"/>
  <c r="C8" i="28" s="1"/>
  <c r="E3" i="44" s="1"/>
  <c r="U4" i="27"/>
  <c r="P22" i="22"/>
  <c r="Y4" i="43"/>
  <c r="A4" i="24"/>
  <c r="A46" i="59" s="1"/>
  <c r="C4" i="28"/>
  <c r="C70" i="59" s="1"/>
  <c r="D4" i="23"/>
  <c r="D38" i="59" s="1"/>
  <c r="D33" i="59"/>
  <c r="C4" i="25"/>
  <c r="C54" i="59" s="1"/>
  <c r="C15" i="22"/>
  <c r="D15" i="22" s="1"/>
  <c r="C5" i="26"/>
  <c r="P31" i="27" s="1"/>
  <c r="A38" i="59"/>
  <c r="A4" i="28"/>
  <c r="B54" i="59"/>
  <c r="B46" i="59"/>
  <c r="D2" i="23"/>
  <c r="D36" i="59" s="1"/>
  <c r="A11" i="28"/>
  <c r="A17" i="28" s="1"/>
  <c r="A23" i="28" s="1"/>
  <c r="A29" i="28" s="1"/>
  <c r="A35" i="28" s="1"/>
  <c r="A41" i="28" s="1"/>
  <c r="A47" i="28" s="1"/>
  <c r="A53" i="28" s="1"/>
  <c r="I1" i="30"/>
  <c r="I75" i="59"/>
  <c r="I7" i="29"/>
  <c r="I13" i="29" s="1"/>
  <c r="I19" i="29" s="1"/>
  <c r="I25" i="29" s="1"/>
  <c r="I31" i="29" s="1"/>
  <c r="I37" i="29" s="1"/>
  <c r="I43" i="29" s="1"/>
  <c r="I49" i="29" s="1"/>
  <c r="C1" i="26"/>
  <c r="C59" i="59" s="1"/>
  <c r="B51" i="59"/>
  <c r="C2" i="25"/>
  <c r="F3" i="27" s="1"/>
  <c r="A5" i="29"/>
  <c r="A79" i="59" s="1"/>
  <c r="B73" i="59"/>
  <c r="B25" i="23"/>
  <c r="B19" i="24"/>
  <c r="B19" i="25" s="1"/>
  <c r="B19" i="26" s="1"/>
  <c r="C2" i="24"/>
  <c r="E3" i="27" s="1"/>
  <c r="D1" i="30"/>
  <c r="D75" i="59"/>
  <c r="D7" i="29"/>
  <c r="D13" i="29" s="1"/>
  <c r="D19" i="29" s="1"/>
  <c r="D25" i="29" s="1"/>
  <c r="D31" i="29" s="1"/>
  <c r="D37" i="29" s="1"/>
  <c r="D43" i="29" s="1"/>
  <c r="D49" i="29" s="1"/>
  <c r="H1" i="26"/>
  <c r="H59" i="59" s="1"/>
  <c r="G51" i="59"/>
  <c r="B12" i="29"/>
  <c r="AB2" i="44" s="1"/>
  <c r="B12" i="24"/>
  <c r="W2" i="35" s="1"/>
  <c r="G1" i="30"/>
  <c r="G75" i="59"/>
  <c r="G7" i="29"/>
  <c r="G13" i="29" s="1"/>
  <c r="G19" i="29" s="1"/>
  <c r="G25" i="29" s="1"/>
  <c r="G31" i="29" s="1"/>
  <c r="G37" i="29" s="1"/>
  <c r="G43" i="29" s="1"/>
  <c r="G49" i="29" s="1"/>
  <c r="D3" i="27"/>
  <c r="J25" i="23"/>
  <c r="J19" i="24"/>
  <c r="J19" i="25" s="1"/>
  <c r="J19" i="26" s="1"/>
  <c r="A1" i="25"/>
  <c r="A43" i="59"/>
  <c r="E1" i="26"/>
  <c r="E59" i="59" s="1"/>
  <c r="D51" i="59"/>
  <c r="E2" i="27"/>
  <c r="D3" i="43"/>
  <c r="P2" i="43"/>
  <c r="C10" i="23"/>
  <c r="M1" i="26"/>
  <c r="M59" i="59" s="1"/>
  <c r="L51" i="59"/>
  <c r="K1" i="26"/>
  <c r="K59" i="59" s="1"/>
  <c r="J51" i="59"/>
  <c r="C2" i="28"/>
  <c r="E3" i="43" s="1"/>
  <c r="J1" i="26"/>
  <c r="J59" i="59" s="1"/>
  <c r="I51" i="59"/>
  <c r="L1" i="26"/>
  <c r="L59" i="59" s="1"/>
  <c r="K51" i="59"/>
  <c r="C2" i="26"/>
  <c r="G3" i="27" s="1"/>
  <c r="B41" i="59"/>
  <c r="I1" i="26"/>
  <c r="I59" i="59" s="1"/>
  <c r="H51" i="59"/>
  <c r="N31" i="27"/>
  <c r="C47" i="59"/>
  <c r="Q16" i="43"/>
  <c r="B78" i="59"/>
  <c r="S30" i="43"/>
  <c r="B95" i="59"/>
  <c r="N2" i="27"/>
  <c r="B45" i="59"/>
  <c r="B2" i="31"/>
  <c r="H2" i="43" s="1"/>
  <c r="B11" i="29"/>
  <c r="Q30" i="44" s="1"/>
  <c r="R30" i="43"/>
  <c r="B87" i="59"/>
  <c r="N3" i="27"/>
  <c r="C45" i="59"/>
  <c r="N30" i="27"/>
  <c r="B47" i="59"/>
  <c r="C3" i="28"/>
  <c r="C69" i="59" s="1"/>
  <c r="C37" i="59"/>
  <c r="C41" i="59" s="1"/>
  <c r="O31" i="27"/>
  <c r="C55" i="59"/>
  <c r="Y3" i="27"/>
  <c r="AA3" i="27" s="1"/>
  <c r="C64" i="59"/>
  <c r="O30" i="27"/>
  <c r="B55" i="59"/>
  <c r="B2" i="30"/>
  <c r="G2" i="43" s="1"/>
  <c r="AD2" i="43"/>
  <c r="B96" i="59"/>
  <c r="F2" i="27"/>
  <c r="B52" i="59"/>
  <c r="Q30" i="43"/>
  <c r="B79" i="59"/>
  <c r="B2" i="29"/>
  <c r="A5" i="25"/>
  <c r="A47" i="59"/>
  <c r="A37" i="59"/>
  <c r="A3" i="28"/>
  <c r="A9" i="23"/>
  <c r="A3" i="24"/>
  <c r="D3" i="44"/>
  <c r="D3" i="35"/>
  <c r="C8" i="25"/>
  <c r="F3" i="35" s="1"/>
  <c r="C8" i="24"/>
  <c r="F25" i="23"/>
  <c r="F19" i="24"/>
  <c r="F19" i="25" s="1"/>
  <c r="F19" i="26" s="1"/>
  <c r="B15" i="23"/>
  <c r="B15" i="25" s="1"/>
  <c r="O2" i="36" s="1"/>
  <c r="O2" i="44"/>
  <c r="M2" i="35"/>
  <c r="L1" i="30"/>
  <c r="L83" i="59" s="1"/>
  <c r="L7" i="29"/>
  <c r="L13" i="29" s="1"/>
  <c r="L19" i="29" s="1"/>
  <c r="L25" i="29" s="1"/>
  <c r="L31" i="29" s="1"/>
  <c r="L37" i="29" s="1"/>
  <c r="L43" i="29" s="1"/>
  <c r="L49" i="29" s="1"/>
  <c r="M25" i="23"/>
  <c r="M19" i="24"/>
  <c r="M19" i="25" s="1"/>
  <c r="M19" i="26" s="1"/>
  <c r="C4" i="44"/>
  <c r="C4" i="35"/>
  <c r="D8" i="23"/>
  <c r="D8" i="24" s="1"/>
  <c r="E8" i="22"/>
  <c r="E25" i="23"/>
  <c r="E19" i="24"/>
  <c r="E19" i="25" s="1"/>
  <c r="E19" i="26" s="1"/>
  <c r="L25" i="23"/>
  <c r="L19" i="24"/>
  <c r="L19" i="25" s="1"/>
  <c r="L19" i="26" s="1"/>
  <c r="B9" i="25"/>
  <c r="O2" i="35" s="1"/>
  <c r="B11" i="25"/>
  <c r="O30" i="35" s="1"/>
  <c r="B17" i="28"/>
  <c r="P30" i="44"/>
  <c r="M1" i="30"/>
  <c r="M83" i="59" s="1"/>
  <c r="M7" i="29"/>
  <c r="M13" i="29" s="1"/>
  <c r="M19" i="29" s="1"/>
  <c r="M25" i="29" s="1"/>
  <c r="M31" i="29" s="1"/>
  <c r="M37" i="29" s="1"/>
  <c r="M43" i="29" s="1"/>
  <c r="M49" i="29" s="1"/>
  <c r="G25" i="23"/>
  <c r="G19" i="24"/>
  <c r="G19" i="25" s="1"/>
  <c r="G19" i="26" s="1"/>
  <c r="A17" i="23"/>
  <c r="A11" i="24"/>
  <c r="A11" i="25" s="1"/>
  <c r="A11" i="26" s="1"/>
  <c r="C14" i="22"/>
  <c r="D14" i="22" s="1"/>
  <c r="B18" i="23"/>
  <c r="B18" i="24" s="1"/>
  <c r="Z2" i="44"/>
  <c r="V2" i="35"/>
  <c r="O17" i="43"/>
  <c r="M17" i="27"/>
  <c r="C2" i="37"/>
  <c r="B26" i="22"/>
  <c r="C10" i="26"/>
  <c r="P17" i="35" s="1"/>
  <c r="J1" i="30"/>
  <c r="J83" i="59" s="1"/>
  <c r="J7" i="29"/>
  <c r="J13" i="29" s="1"/>
  <c r="J19" i="29" s="1"/>
  <c r="J25" i="29" s="1"/>
  <c r="J31" i="29" s="1"/>
  <c r="J37" i="29" s="1"/>
  <c r="J43" i="29" s="1"/>
  <c r="J49" i="29" s="1"/>
  <c r="B12" i="30"/>
  <c r="AC2" i="44" s="1"/>
  <c r="P16" i="44"/>
  <c r="B17" i="23"/>
  <c r="O30" i="44"/>
  <c r="M30" i="35"/>
  <c r="N3" i="45"/>
  <c r="L3" i="36"/>
  <c r="D9" i="22"/>
  <c r="N3" i="44"/>
  <c r="L3" i="35"/>
  <c r="C9" i="23"/>
  <c r="C9" i="25" s="1"/>
  <c r="O3" i="35" s="1"/>
  <c r="C25" i="23"/>
  <c r="C19" i="24"/>
  <c r="C19" i="25" s="1"/>
  <c r="C19" i="26" s="1"/>
  <c r="AA2" i="44"/>
  <c r="B18" i="28"/>
  <c r="I25" i="23"/>
  <c r="I19" i="24"/>
  <c r="I19" i="25" s="1"/>
  <c r="I19" i="26" s="1"/>
  <c r="E10" i="22"/>
  <c r="N18" i="44"/>
  <c r="L18" i="35"/>
  <c r="O3" i="43"/>
  <c r="M3" i="27"/>
  <c r="D3" i="23"/>
  <c r="D37" i="59" s="1"/>
  <c r="C3" i="25"/>
  <c r="D3" i="26" s="1"/>
  <c r="O32" i="43"/>
  <c r="M32" i="27"/>
  <c r="Y5" i="43"/>
  <c r="U5" i="27"/>
  <c r="B11" i="24"/>
  <c r="B11" i="30"/>
  <c r="R30" i="44" s="1"/>
  <c r="B14" i="23"/>
  <c r="B14" i="25" s="1"/>
  <c r="F2" i="36" s="1"/>
  <c r="D2" i="35"/>
  <c r="B8" i="25"/>
  <c r="F2" i="35" s="1"/>
  <c r="B8" i="24"/>
  <c r="D25" i="23"/>
  <c r="D19" i="24"/>
  <c r="D19" i="25" s="1"/>
  <c r="D19" i="26" s="1"/>
  <c r="C3" i="26"/>
  <c r="O7" i="26" s="1"/>
  <c r="O2" i="27"/>
  <c r="Y2" i="45"/>
  <c r="U2" i="36"/>
  <c r="B24" i="22"/>
  <c r="C1" i="30"/>
  <c r="C83" i="59" s="1"/>
  <c r="C7" i="29"/>
  <c r="C13" i="29" s="1"/>
  <c r="C19" i="29" s="1"/>
  <c r="C25" i="29" s="1"/>
  <c r="C31" i="29" s="1"/>
  <c r="C37" i="29" s="1"/>
  <c r="C43" i="29" s="1"/>
  <c r="C49" i="29" s="1"/>
  <c r="A2" i="24"/>
  <c r="A2" i="28"/>
  <c r="A68" i="59" s="1"/>
  <c r="A8" i="23"/>
  <c r="C16" i="22"/>
  <c r="C18" i="22"/>
  <c r="Q5" i="22"/>
  <c r="R4" i="22"/>
  <c r="N2" i="45"/>
  <c r="L2" i="36"/>
  <c r="B21" i="22"/>
  <c r="C5" i="30"/>
  <c r="P31" i="43"/>
  <c r="N30" i="45"/>
  <c r="L30" i="36"/>
  <c r="N16" i="47"/>
  <c r="L16" i="38"/>
  <c r="B34" i="22"/>
  <c r="N5" i="43"/>
  <c r="L5" i="27"/>
  <c r="O18" i="43"/>
  <c r="C5" i="32"/>
  <c r="O22" i="23"/>
  <c r="N31" i="44"/>
  <c r="L31" i="35"/>
  <c r="A16" i="23"/>
  <c r="A10" i="24"/>
  <c r="A10" i="25" s="1"/>
  <c r="A10" i="26" s="1"/>
  <c r="K1" i="30"/>
  <c r="K83" i="59" s="1"/>
  <c r="K7" i="29"/>
  <c r="K13" i="29" s="1"/>
  <c r="K19" i="29" s="1"/>
  <c r="K25" i="29" s="1"/>
  <c r="K31" i="29" s="1"/>
  <c r="K37" i="29" s="1"/>
  <c r="K43" i="29" s="1"/>
  <c r="K49" i="29" s="1"/>
  <c r="N18" i="43"/>
  <c r="L18" i="27"/>
  <c r="B12" i="31"/>
  <c r="AD2" i="44" s="1"/>
  <c r="C12" i="23"/>
  <c r="Y3" i="44"/>
  <c r="U3" i="35"/>
  <c r="D12" i="22"/>
  <c r="B1" i="30"/>
  <c r="B83" i="59" s="1"/>
  <c r="B7" i="29"/>
  <c r="B13" i="29" s="1"/>
  <c r="B19" i="29" s="1"/>
  <c r="B25" i="29" s="1"/>
  <c r="B31" i="29" s="1"/>
  <c r="B37" i="29" s="1"/>
  <c r="B43" i="29" s="1"/>
  <c r="B49" i="29" s="1"/>
  <c r="F1" i="30"/>
  <c r="F83" i="59" s="1"/>
  <c r="F7" i="29"/>
  <c r="F13" i="29" s="1"/>
  <c r="F19" i="29" s="1"/>
  <c r="F25" i="29" s="1"/>
  <c r="F31" i="29" s="1"/>
  <c r="F37" i="29" s="1"/>
  <c r="F43" i="29" s="1"/>
  <c r="F49" i="29" s="1"/>
  <c r="H1" i="30"/>
  <c r="H83" i="59" s="1"/>
  <c r="H7" i="29"/>
  <c r="H13" i="29" s="1"/>
  <c r="H19" i="29" s="1"/>
  <c r="H25" i="29" s="1"/>
  <c r="H31" i="29" s="1"/>
  <c r="H37" i="29" s="1"/>
  <c r="H43" i="29" s="1"/>
  <c r="H49" i="29" s="1"/>
  <c r="N32" i="43"/>
  <c r="L32" i="27"/>
  <c r="Q5" i="25"/>
  <c r="R4" i="25"/>
  <c r="B9" i="24"/>
  <c r="E1" i="30"/>
  <c r="E83" i="59" s="1"/>
  <c r="E7" i="29"/>
  <c r="E13" i="29" s="1"/>
  <c r="E19" i="29" s="1"/>
  <c r="E25" i="29" s="1"/>
  <c r="E31" i="29" s="1"/>
  <c r="E37" i="29" s="1"/>
  <c r="E43" i="29" s="1"/>
  <c r="E49" i="29" s="1"/>
  <c r="D11" i="22"/>
  <c r="C11" i="23"/>
  <c r="C17" i="22"/>
  <c r="B23" i="22"/>
  <c r="C5" i="29"/>
  <c r="C5" i="31"/>
  <c r="F3" i="22"/>
  <c r="F29" i="59" s="1"/>
  <c r="C2" i="29"/>
  <c r="D5" i="28"/>
  <c r="D71" i="59" s="1"/>
  <c r="D5" i="24"/>
  <c r="D5" i="25"/>
  <c r="C2" i="31"/>
  <c r="D5" i="26"/>
  <c r="F6" i="22"/>
  <c r="F32" i="59" s="1"/>
  <c r="AE3" i="43" l="1"/>
  <c r="AG3" i="43" s="1"/>
  <c r="A19" i="30"/>
  <c r="A13" i="31"/>
  <c r="A13" i="32" s="1"/>
  <c r="C12" i="26"/>
  <c r="Y3" i="35" s="1"/>
  <c r="D4" i="28"/>
  <c r="D4" i="31" s="1"/>
  <c r="B16" i="31"/>
  <c r="S16" i="45" s="1"/>
  <c r="B8" i="30"/>
  <c r="G2" i="44" s="1"/>
  <c r="B16" i="24"/>
  <c r="N16" i="36" s="1"/>
  <c r="C4" i="30"/>
  <c r="C86" i="59" s="1"/>
  <c r="M16" i="36"/>
  <c r="B16" i="25"/>
  <c r="O16" i="36" s="1"/>
  <c r="B8" i="31"/>
  <c r="H2" i="44" s="1"/>
  <c r="O16" i="45"/>
  <c r="B94" i="59"/>
  <c r="B85" i="59"/>
  <c r="B8" i="29"/>
  <c r="C4" i="29"/>
  <c r="Q17" i="43" s="1"/>
  <c r="C4" i="31"/>
  <c r="S17" i="43" s="1"/>
  <c r="B14" i="28"/>
  <c r="B14" i="30" s="1"/>
  <c r="G2" i="45" s="1"/>
  <c r="P17" i="43"/>
  <c r="C4" i="32"/>
  <c r="B86" i="59"/>
  <c r="AF3" i="43"/>
  <c r="C10" i="28"/>
  <c r="P17" i="44" s="1"/>
  <c r="A18" i="23"/>
  <c r="A24" i="23" s="1"/>
  <c r="B10" i="30"/>
  <c r="R16" i="44" s="1"/>
  <c r="B10" i="31"/>
  <c r="S16" i="44" s="1"/>
  <c r="B10" i="29"/>
  <c r="Q16" i="44" s="1"/>
  <c r="R16" i="43"/>
  <c r="C6" i="31"/>
  <c r="AD3" i="43" s="1"/>
  <c r="C48" i="59"/>
  <c r="D6" i="26"/>
  <c r="Y4" i="27" s="1"/>
  <c r="AA4" i="27" s="1"/>
  <c r="E3" i="23"/>
  <c r="E37" i="59" s="1"/>
  <c r="R17" i="27"/>
  <c r="Q17" i="27"/>
  <c r="E5" i="23"/>
  <c r="E39" i="59" s="1"/>
  <c r="C62" i="59"/>
  <c r="L33" i="27"/>
  <c r="N33" i="43"/>
  <c r="A12" i="28"/>
  <c r="A18" i="28" s="1"/>
  <c r="A24" i="28" s="1"/>
  <c r="A30" i="28" s="1"/>
  <c r="A36" i="28" s="1"/>
  <c r="A42" i="28" s="1"/>
  <c r="A48" i="28" s="1"/>
  <c r="A54" i="28" s="1"/>
  <c r="L19" i="27"/>
  <c r="F4" i="22"/>
  <c r="F30" i="59" s="1"/>
  <c r="N19" i="43"/>
  <c r="F5" i="22"/>
  <c r="F31" i="59" s="1"/>
  <c r="A6" i="29"/>
  <c r="C6" i="29"/>
  <c r="C80" i="59" s="1"/>
  <c r="C72" i="59"/>
  <c r="C88" i="59"/>
  <c r="M18" i="27"/>
  <c r="AA3" i="43"/>
  <c r="D4" i="24"/>
  <c r="N18" i="27" s="1"/>
  <c r="C56" i="59"/>
  <c r="E4" i="23"/>
  <c r="E38" i="59" s="1"/>
  <c r="D4" i="25"/>
  <c r="O18" i="27" s="1"/>
  <c r="A4" i="25"/>
  <c r="A54" i="59" s="1"/>
  <c r="A48" i="59"/>
  <c r="C46" i="59"/>
  <c r="B93" i="59"/>
  <c r="E33" i="59"/>
  <c r="C2" i="30"/>
  <c r="D2" i="32" s="1"/>
  <c r="A11" i="29"/>
  <c r="A17" i="29" s="1"/>
  <c r="A23" i="29" s="1"/>
  <c r="A29" i="29" s="1"/>
  <c r="A35" i="29" s="1"/>
  <c r="A41" i="29" s="1"/>
  <c r="A47" i="29" s="1"/>
  <c r="A53" i="29" s="1"/>
  <c r="A5" i="30"/>
  <c r="A87" i="59" s="1"/>
  <c r="B15" i="28"/>
  <c r="B15" i="31" s="1"/>
  <c r="S2" i="45" s="1"/>
  <c r="C5" i="43"/>
  <c r="C63" i="59"/>
  <c r="Q2" i="43"/>
  <c r="D6" i="24"/>
  <c r="W4" i="27" s="1"/>
  <c r="P2" i="44"/>
  <c r="C5" i="27"/>
  <c r="F2" i="22"/>
  <c r="F28" i="59" s="1"/>
  <c r="Q22" i="22"/>
  <c r="B9" i="31"/>
  <c r="S2" i="44" s="1"/>
  <c r="B9" i="29"/>
  <c r="Q2" i="44" s="1"/>
  <c r="V4" i="27"/>
  <c r="D6" i="25"/>
  <c r="D56" i="59" s="1"/>
  <c r="E6" i="23"/>
  <c r="E40" i="59" s="1"/>
  <c r="Z4" i="43"/>
  <c r="D6" i="28"/>
  <c r="D6" i="30" s="1"/>
  <c r="Q31" i="27"/>
  <c r="R31" i="27"/>
  <c r="C9" i="24"/>
  <c r="N3" i="35" s="1"/>
  <c r="B17" i="29"/>
  <c r="Q30" i="45" s="1"/>
  <c r="C3" i="32"/>
  <c r="C3" i="30"/>
  <c r="R3" i="43" s="1"/>
  <c r="B17" i="25"/>
  <c r="O30" i="36" s="1"/>
  <c r="B17" i="31"/>
  <c r="S30" i="45" s="1"/>
  <c r="B18" i="29"/>
  <c r="AB2" i="45" s="1"/>
  <c r="O17" i="27"/>
  <c r="B17" i="24"/>
  <c r="N30" i="36" s="1"/>
  <c r="D4" i="26"/>
  <c r="P18" i="27" s="1"/>
  <c r="R18" i="27" s="1"/>
  <c r="B17" i="30"/>
  <c r="R30" i="45" s="1"/>
  <c r="C8" i="31"/>
  <c r="H3" i="44" s="1"/>
  <c r="P3" i="43"/>
  <c r="C3" i="31"/>
  <c r="C93" i="59" s="1"/>
  <c r="E15" i="22"/>
  <c r="F15" i="22" s="1"/>
  <c r="N4" i="45"/>
  <c r="L4" i="36"/>
  <c r="C3" i="29"/>
  <c r="C77" i="59" s="1"/>
  <c r="Z3" i="27"/>
  <c r="C15" i="23"/>
  <c r="D15" i="23" s="1"/>
  <c r="D15" i="24" s="1"/>
  <c r="N4" i="36" s="1"/>
  <c r="B15" i="24"/>
  <c r="C15" i="26" s="1"/>
  <c r="P3" i="36" s="1"/>
  <c r="D2" i="24"/>
  <c r="D2" i="25"/>
  <c r="F4" i="27" s="1"/>
  <c r="D2" i="28"/>
  <c r="E4" i="43" s="1"/>
  <c r="C68" i="59"/>
  <c r="C73" i="59" s="1"/>
  <c r="D4" i="27"/>
  <c r="E2" i="23"/>
  <c r="E36" i="59" s="1"/>
  <c r="D4" i="43"/>
  <c r="D41" i="59"/>
  <c r="A70" i="59"/>
  <c r="A10" i="28"/>
  <c r="A16" i="28" s="1"/>
  <c r="A22" i="28" s="1"/>
  <c r="A28" i="28" s="1"/>
  <c r="A34" i="28" s="1"/>
  <c r="A40" i="28" s="1"/>
  <c r="A46" i="28" s="1"/>
  <c r="A52" i="28" s="1"/>
  <c r="A4" i="29"/>
  <c r="I3" i="27"/>
  <c r="H3" i="27"/>
  <c r="I1" i="31"/>
  <c r="I83" i="59"/>
  <c r="I7" i="30"/>
  <c r="C8" i="30"/>
  <c r="G3" i="44" s="1"/>
  <c r="D1" i="31"/>
  <c r="D83" i="59"/>
  <c r="D7" i="30"/>
  <c r="A1" i="26"/>
  <c r="A59" i="59" s="1"/>
  <c r="A51" i="59"/>
  <c r="C24" i="22"/>
  <c r="D24" i="22" s="1"/>
  <c r="O17" i="44"/>
  <c r="D10" i="23"/>
  <c r="M17" i="35"/>
  <c r="C10" i="25"/>
  <c r="O17" i="35" s="1"/>
  <c r="C10" i="24"/>
  <c r="B31" i="23"/>
  <c r="B25" i="24"/>
  <c r="B25" i="25" s="1"/>
  <c r="B25" i="26" s="1"/>
  <c r="G1" i="31"/>
  <c r="G83" i="59"/>
  <c r="G7" i="30"/>
  <c r="D2" i="26"/>
  <c r="G4" i="27" s="1"/>
  <c r="C44" i="59"/>
  <c r="C60" i="59"/>
  <c r="J31" i="23"/>
  <c r="J25" i="24"/>
  <c r="J25" i="25" s="1"/>
  <c r="J25" i="26" s="1"/>
  <c r="C52" i="59"/>
  <c r="T31" i="43"/>
  <c r="V31" i="43" s="1"/>
  <c r="C103" i="59"/>
  <c r="P4" i="27"/>
  <c r="R4" i="27" s="1"/>
  <c r="D61" i="59"/>
  <c r="B92" i="59"/>
  <c r="R17" i="43"/>
  <c r="B84" i="59"/>
  <c r="H3" i="43"/>
  <c r="C92" i="59"/>
  <c r="T17" i="43"/>
  <c r="V17" i="43" s="1"/>
  <c r="C102" i="59"/>
  <c r="N32" i="27"/>
  <c r="D47" i="59"/>
  <c r="S31" i="43"/>
  <c r="C95" i="59"/>
  <c r="P32" i="27"/>
  <c r="R32" i="27" s="1"/>
  <c r="D63" i="59"/>
  <c r="O32" i="27"/>
  <c r="D55" i="59"/>
  <c r="F3" i="43"/>
  <c r="C76" i="59"/>
  <c r="Q31" i="43"/>
  <c r="C79" i="59"/>
  <c r="B76" i="59"/>
  <c r="C2" i="32"/>
  <c r="R31" i="43"/>
  <c r="C87" i="59"/>
  <c r="P3" i="27"/>
  <c r="R3" i="27" s="1"/>
  <c r="C61" i="59"/>
  <c r="O3" i="27"/>
  <c r="C53" i="59"/>
  <c r="C8" i="29"/>
  <c r="F3" i="44" s="1"/>
  <c r="A6" i="26"/>
  <c r="A56" i="59"/>
  <c r="A5" i="26"/>
  <c r="A55" i="59"/>
  <c r="A2" i="25"/>
  <c r="A44" i="59"/>
  <c r="A45" i="59"/>
  <c r="A3" i="25"/>
  <c r="A15" i="23"/>
  <c r="A9" i="24"/>
  <c r="A9" i="25" s="1"/>
  <c r="A9" i="26" s="1"/>
  <c r="A69" i="59"/>
  <c r="A3" i="29"/>
  <c r="A9" i="28"/>
  <c r="A15" i="28" s="1"/>
  <c r="A21" i="28" s="1"/>
  <c r="A27" i="28" s="1"/>
  <c r="A33" i="28" s="1"/>
  <c r="A39" i="28" s="1"/>
  <c r="A45" i="28" s="1"/>
  <c r="A51" i="28" s="1"/>
  <c r="W2" i="36"/>
  <c r="E14" i="22"/>
  <c r="C4" i="45"/>
  <c r="C4" i="36"/>
  <c r="B1" i="31"/>
  <c r="B7" i="30"/>
  <c r="E12" i="22"/>
  <c r="Y4" i="44"/>
  <c r="U4" i="35"/>
  <c r="D12" i="23"/>
  <c r="D12" i="25" s="1"/>
  <c r="X4" i="35" s="1"/>
  <c r="Z3" i="44"/>
  <c r="V3" i="35"/>
  <c r="C12" i="28"/>
  <c r="C12" i="31" s="1"/>
  <c r="AD3" i="44" s="1"/>
  <c r="N16" i="48"/>
  <c r="L16" i="39"/>
  <c r="B40" i="22"/>
  <c r="N2" i="46"/>
  <c r="L2" i="37"/>
  <c r="B27" i="22"/>
  <c r="D31" i="23"/>
  <c r="D25" i="24"/>
  <c r="D25" i="25" s="1"/>
  <c r="D25" i="26" s="1"/>
  <c r="I31" i="23"/>
  <c r="I25" i="24"/>
  <c r="I25" i="25" s="1"/>
  <c r="I25" i="26" s="1"/>
  <c r="C31" i="23"/>
  <c r="C25" i="24"/>
  <c r="C25" i="25" s="1"/>
  <c r="C25" i="26" s="1"/>
  <c r="L31" i="23"/>
  <c r="L25" i="24"/>
  <c r="L25" i="25" s="1"/>
  <c r="L25" i="26" s="1"/>
  <c r="B16" i="29"/>
  <c r="Y6" i="43"/>
  <c r="U6" i="27"/>
  <c r="N31" i="45"/>
  <c r="L31" i="36"/>
  <c r="E1" i="31"/>
  <c r="E7" i="30"/>
  <c r="Q6" i="25"/>
  <c r="R5" i="25"/>
  <c r="H1" i="31"/>
  <c r="H7" i="30"/>
  <c r="C12" i="25"/>
  <c r="X3" i="35" s="1"/>
  <c r="K1" i="31"/>
  <c r="K7" i="30"/>
  <c r="A22" i="23"/>
  <c r="A16" i="24"/>
  <c r="A16" i="25" s="1"/>
  <c r="A16" i="26" s="1"/>
  <c r="Y2" i="46"/>
  <c r="U2" i="37"/>
  <c r="B30" i="22"/>
  <c r="E2" i="35"/>
  <c r="C8" i="26"/>
  <c r="G3" i="35" s="1"/>
  <c r="C11" i="26"/>
  <c r="P31" i="35" s="1"/>
  <c r="N30" i="35"/>
  <c r="F10" i="22"/>
  <c r="N19" i="44"/>
  <c r="L19" i="35"/>
  <c r="B24" i="28"/>
  <c r="AA2" i="45"/>
  <c r="O3" i="44"/>
  <c r="M3" i="35"/>
  <c r="C9" i="28"/>
  <c r="C9" i="29" s="1"/>
  <c r="G31" i="23"/>
  <c r="G25" i="24"/>
  <c r="G25" i="25" s="1"/>
  <c r="G25" i="26" s="1"/>
  <c r="M1" i="31"/>
  <c r="M91" i="59" s="1"/>
  <c r="M7" i="30"/>
  <c r="D8" i="25"/>
  <c r="F4" i="35" s="1"/>
  <c r="D4" i="44"/>
  <c r="D4" i="35"/>
  <c r="D8" i="28"/>
  <c r="C3" i="45"/>
  <c r="C3" i="36"/>
  <c r="C14" i="23"/>
  <c r="C14" i="24" s="1"/>
  <c r="L1" i="31"/>
  <c r="L7" i="30"/>
  <c r="C11" i="32"/>
  <c r="T31" i="44" s="1"/>
  <c r="D5" i="30"/>
  <c r="P32" i="43"/>
  <c r="N20" i="43"/>
  <c r="L20" i="27"/>
  <c r="C11" i="28"/>
  <c r="P31" i="44" s="1"/>
  <c r="O31" i="44"/>
  <c r="M31" i="35"/>
  <c r="N2" i="35"/>
  <c r="C9" i="26"/>
  <c r="P3" i="35" s="1"/>
  <c r="C22" i="22"/>
  <c r="C21" i="22"/>
  <c r="D21" i="22" s="1"/>
  <c r="C20" i="22"/>
  <c r="Q6" i="22"/>
  <c r="R5" i="22"/>
  <c r="D16" i="22"/>
  <c r="N17" i="45"/>
  <c r="L17" i="36"/>
  <c r="C16" i="23"/>
  <c r="C16" i="25" s="1"/>
  <c r="O17" i="36" s="1"/>
  <c r="N4" i="44"/>
  <c r="L4" i="35"/>
  <c r="E9" i="22"/>
  <c r="D9" i="23"/>
  <c r="J1" i="31"/>
  <c r="J7" i="30"/>
  <c r="B23" i="28"/>
  <c r="P30" i="45"/>
  <c r="E31" i="23"/>
  <c r="E25" i="24"/>
  <c r="E25" i="25" s="1"/>
  <c r="E25" i="26" s="1"/>
  <c r="M31" i="23"/>
  <c r="M25" i="24"/>
  <c r="M25" i="25" s="1"/>
  <c r="M25" i="26" s="1"/>
  <c r="F31" i="23"/>
  <c r="F25" i="24"/>
  <c r="F25" i="25" s="1"/>
  <c r="F25" i="26" s="1"/>
  <c r="B28" i="23"/>
  <c r="O16" i="46"/>
  <c r="M16" i="37"/>
  <c r="B22" i="24"/>
  <c r="N30" i="46"/>
  <c r="L30" i="37"/>
  <c r="F1" i="31"/>
  <c r="F7" i="30"/>
  <c r="A2" i="29"/>
  <c r="A76" i="59" s="1"/>
  <c r="A8" i="28"/>
  <c r="A14" i="28" s="1"/>
  <c r="A20" i="28" s="1"/>
  <c r="A26" i="28" s="1"/>
  <c r="A32" i="28" s="1"/>
  <c r="A38" i="28" s="1"/>
  <c r="A44" i="28" s="1"/>
  <c r="A50" i="28" s="1"/>
  <c r="C1" i="31"/>
  <c r="C7" i="30"/>
  <c r="B20" i="23"/>
  <c r="D2" i="36"/>
  <c r="B14" i="24"/>
  <c r="O4" i="43"/>
  <c r="M4" i="27"/>
  <c r="B22" i="28"/>
  <c r="B22" i="30" s="1"/>
  <c r="R16" i="46" s="1"/>
  <c r="P16" i="45"/>
  <c r="R17" i="35"/>
  <c r="Q17" i="35"/>
  <c r="B24" i="23"/>
  <c r="B24" i="24" s="1"/>
  <c r="Z2" i="45"/>
  <c r="V2" i="36"/>
  <c r="B18" i="25"/>
  <c r="X2" i="36" s="1"/>
  <c r="A23" i="23"/>
  <c r="A17" i="24"/>
  <c r="A17" i="25" s="1"/>
  <c r="A17" i="26" s="1"/>
  <c r="D3" i="25"/>
  <c r="D3" i="24"/>
  <c r="D3" i="28"/>
  <c r="D3" i="29" s="1"/>
  <c r="N6" i="43"/>
  <c r="L6" i="27"/>
  <c r="P22" i="23"/>
  <c r="N32" i="44"/>
  <c r="L32" i="35"/>
  <c r="C12" i="24"/>
  <c r="E4" i="35"/>
  <c r="D18" i="22"/>
  <c r="Y3" i="45"/>
  <c r="U3" i="36"/>
  <c r="C18" i="23"/>
  <c r="C18" i="24" s="1"/>
  <c r="A14" i="23"/>
  <c r="A8" i="24"/>
  <c r="A8" i="25" s="1"/>
  <c r="A8" i="26" s="1"/>
  <c r="B18" i="31"/>
  <c r="AD2" i="45" s="1"/>
  <c r="B18" i="30"/>
  <c r="AC2" i="45" s="1"/>
  <c r="B23" i="23"/>
  <c r="B23" i="24" s="1"/>
  <c r="N30" i="37" s="1"/>
  <c r="O30" i="45"/>
  <c r="M30" i="36"/>
  <c r="C2" i="38"/>
  <c r="B32" i="22"/>
  <c r="Z3" i="35"/>
  <c r="AA3" i="35"/>
  <c r="F8" i="22"/>
  <c r="C5" i="44"/>
  <c r="C5" i="35"/>
  <c r="E8" i="23"/>
  <c r="C12" i="32"/>
  <c r="AE3" i="44" s="1"/>
  <c r="B21" i="23"/>
  <c r="O2" i="45"/>
  <c r="M2" i="36"/>
  <c r="B16" i="30"/>
  <c r="R16" i="45" s="1"/>
  <c r="E3" i="35"/>
  <c r="D8" i="26"/>
  <c r="G4" i="35" s="1"/>
  <c r="B29" i="22"/>
  <c r="C23" i="22"/>
  <c r="C17" i="23"/>
  <c r="D17" i="22"/>
  <c r="D11" i="23"/>
  <c r="D11" i="24" s="1"/>
  <c r="N32" i="35" s="1"/>
  <c r="E11" i="22"/>
  <c r="C11" i="25"/>
  <c r="O31" i="35" s="1"/>
  <c r="C11" i="24"/>
  <c r="Q22" i="23"/>
  <c r="D5" i="32"/>
  <c r="F3" i="23"/>
  <c r="F37" i="59" s="1"/>
  <c r="E5" i="26"/>
  <c r="E3" i="25"/>
  <c r="G3" i="22"/>
  <c r="G29" i="59" s="1"/>
  <c r="D2" i="31"/>
  <c r="G6" i="22"/>
  <c r="D5" i="31"/>
  <c r="D5" i="29"/>
  <c r="E3" i="24"/>
  <c r="AB3" i="43" l="1"/>
  <c r="A19" i="31"/>
  <c r="A19" i="32" s="1"/>
  <c r="A25" i="30"/>
  <c r="D48" i="59"/>
  <c r="D54" i="59"/>
  <c r="P7" i="26"/>
  <c r="B14" i="31"/>
  <c r="H2" i="45" s="1"/>
  <c r="B20" i="28"/>
  <c r="B14" i="29"/>
  <c r="O5" i="43"/>
  <c r="P18" i="43"/>
  <c r="N34" i="43"/>
  <c r="D4" i="30"/>
  <c r="E4" i="32" s="1"/>
  <c r="D70" i="59"/>
  <c r="C94" i="59"/>
  <c r="D4" i="29"/>
  <c r="E4" i="26"/>
  <c r="E62" i="59" s="1"/>
  <c r="O33" i="43"/>
  <c r="D46" i="59"/>
  <c r="E5" i="28"/>
  <c r="E5" i="24"/>
  <c r="F5" i="26" s="1"/>
  <c r="E5" i="25"/>
  <c r="O33" i="27" s="1"/>
  <c r="C10" i="32"/>
  <c r="T17" i="44" s="1"/>
  <c r="U17" i="44" s="1"/>
  <c r="M33" i="27"/>
  <c r="A18" i="24"/>
  <c r="A18" i="25" s="1"/>
  <c r="A18" i="26" s="1"/>
  <c r="D4" i="32"/>
  <c r="D6" i="32"/>
  <c r="AE4" i="43" s="1"/>
  <c r="AF4" i="43" s="1"/>
  <c r="C8" i="32"/>
  <c r="I3" i="44" s="1"/>
  <c r="K3" i="44" s="1"/>
  <c r="C10" i="30"/>
  <c r="R17" i="44" s="1"/>
  <c r="D64" i="59"/>
  <c r="C78" i="59"/>
  <c r="G4" i="22"/>
  <c r="G30" i="59" s="1"/>
  <c r="G2" i="22"/>
  <c r="G28" i="59" s="1"/>
  <c r="C16" i="26"/>
  <c r="P17" i="36" s="1"/>
  <c r="R17" i="36" s="1"/>
  <c r="C10" i="29"/>
  <c r="Q17" i="44" s="1"/>
  <c r="C10" i="31"/>
  <c r="S17" i="44" s="1"/>
  <c r="C96" i="59"/>
  <c r="D10" i="28"/>
  <c r="F4" i="23"/>
  <c r="F38" i="59" s="1"/>
  <c r="O19" i="43"/>
  <c r="S3" i="43"/>
  <c r="A4" i="26"/>
  <c r="D72" i="59"/>
  <c r="D6" i="31"/>
  <c r="AD4" i="43" s="1"/>
  <c r="C85" i="59"/>
  <c r="C6" i="27"/>
  <c r="B23" i="25"/>
  <c r="O30" i="37" s="1"/>
  <c r="M5" i="27"/>
  <c r="D2" i="29"/>
  <c r="F4" i="43" s="1"/>
  <c r="P2" i="45"/>
  <c r="B21" i="28"/>
  <c r="B21" i="29" s="1"/>
  <c r="C27" i="22"/>
  <c r="D27" i="22" s="1"/>
  <c r="E27" i="22" s="1"/>
  <c r="B15" i="29"/>
  <c r="Q2" i="45" s="1"/>
  <c r="E6" i="26"/>
  <c r="E64" i="59" s="1"/>
  <c r="X4" i="27"/>
  <c r="D2" i="30"/>
  <c r="G4" i="43" s="1"/>
  <c r="B15" i="30"/>
  <c r="R2" i="45" s="1"/>
  <c r="F33" i="59"/>
  <c r="A80" i="59"/>
  <c r="A6" i="30"/>
  <c r="A12" i="29"/>
  <c r="A18" i="29" s="1"/>
  <c r="A24" i="29" s="1"/>
  <c r="A30" i="29" s="1"/>
  <c r="A36" i="29" s="1"/>
  <c r="A42" i="29" s="1"/>
  <c r="A48" i="29" s="1"/>
  <c r="A54" i="29" s="1"/>
  <c r="M19" i="27"/>
  <c r="AA4" i="43"/>
  <c r="G3" i="43"/>
  <c r="D6" i="29"/>
  <c r="D80" i="59" s="1"/>
  <c r="E4" i="28"/>
  <c r="E70" i="59" s="1"/>
  <c r="F5" i="23"/>
  <c r="F39" i="59" s="1"/>
  <c r="E2" i="24"/>
  <c r="E5" i="27" s="1"/>
  <c r="G5" i="22"/>
  <c r="G31" i="59" s="1"/>
  <c r="D5" i="27"/>
  <c r="D68" i="59"/>
  <c r="E2" i="28"/>
  <c r="E68" i="59" s="1"/>
  <c r="D5" i="43"/>
  <c r="E2" i="25"/>
  <c r="F5" i="27" s="1"/>
  <c r="F2" i="23"/>
  <c r="F36" i="59" s="1"/>
  <c r="R22" i="22"/>
  <c r="E4" i="25"/>
  <c r="O19" i="27" s="1"/>
  <c r="E4" i="24"/>
  <c r="E46" i="59" s="1"/>
  <c r="L34" i="27"/>
  <c r="D60" i="59"/>
  <c r="C84" i="59"/>
  <c r="U31" i="43"/>
  <c r="F3" i="25"/>
  <c r="O6" i="27" s="1"/>
  <c r="E8" i="26"/>
  <c r="G5" i="35" s="1"/>
  <c r="I5" i="35" s="1"/>
  <c r="A11" i="30"/>
  <c r="A11" i="31" s="1"/>
  <c r="A11" i="32" s="1"/>
  <c r="A5" i="31"/>
  <c r="A5" i="32" s="1"/>
  <c r="A103" i="59" s="1"/>
  <c r="C17" i="32"/>
  <c r="T31" i="45" s="1"/>
  <c r="V31" i="45" s="1"/>
  <c r="N2" i="36"/>
  <c r="E41" i="59"/>
  <c r="C11" i="30"/>
  <c r="R31" i="44" s="1"/>
  <c r="C9" i="32"/>
  <c r="T3" i="44" s="1"/>
  <c r="V3" i="44" s="1"/>
  <c r="E6" i="24"/>
  <c r="W5" i="27" s="1"/>
  <c r="E6" i="25"/>
  <c r="X5" i="27" s="1"/>
  <c r="E6" i="28"/>
  <c r="E72" i="59" s="1"/>
  <c r="Q3" i="43"/>
  <c r="V5" i="27"/>
  <c r="Q32" i="27"/>
  <c r="F6" i="23"/>
  <c r="F40" i="59" s="1"/>
  <c r="Z5" i="43"/>
  <c r="C11" i="29"/>
  <c r="Q31" i="44" s="1"/>
  <c r="M4" i="36"/>
  <c r="O4" i="45"/>
  <c r="C15" i="28"/>
  <c r="C15" i="30" s="1"/>
  <c r="R3" i="45" s="1"/>
  <c r="C11" i="31"/>
  <c r="S31" i="44" s="1"/>
  <c r="M3" i="36"/>
  <c r="C15" i="24"/>
  <c r="C17" i="26"/>
  <c r="P31" i="36" s="1"/>
  <c r="R31" i="36" s="1"/>
  <c r="O3" i="45"/>
  <c r="C15" i="25"/>
  <c r="O3" i="36" s="1"/>
  <c r="U17" i="43"/>
  <c r="D9" i="26"/>
  <c r="P4" i="35" s="1"/>
  <c r="R4" i="35" s="1"/>
  <c r="E3" i="26"/>
  <c r="E61" i="59" s="1"/>
  <c r="D15" i="25"/>
  <c r="E15" i="26" s="1"/>
  <c r="P5" i="36" s="1"/>
  <c r="Q4" i="27"/>
  <c r="E15" i="23"/>
  <c r="L5" i="36"/>
  <c r="N5" i="45"/>
  <c r="D52" i="59"/>
  <c r="T3" i="43"/>
  <c r="C101" i="59"/>
  <c r="D3" i="32"/>
  <c r="T4" i="43" s="1"/>
  <c r="V4" i="43" s="1"/>
  <c r="C28" i="22"/>
  <c r="C28" i="23" s="1"/>
  <c r="D62" i="59"/>
  <c r="E2" i="26"/>
  <c r="E60" i="59" s="1"/>
  <c r="Z4" i="27"/>
  <c r="C14" i="25"/>
  <c r="F3" i="36" s="1"/>
  <c r="E4" i="27"/>
  <c r="D44" i="59"/>
  <c r="B23" i="31"/>
  <c r="S30" i="46" s="1"/>
  <c r="D12" i="24"/>
  <c r="W4" i="35" s="1"/>
  <c r="C65" i="59"/>
  <c r="A78" i="59"/>
  <c r="A4" i="30"/>
  <c r="A10" i="29"/>
  <c r="A16" i="29" s="1"/>
  <c r="A22" i="29" s="1"/>
  <c r="A28" i="29" s="1"/>
  <c r="A34" i="29" s="1"/>
  <c r="A40" i="29" s="1"/>
  <c r="A46" i="29" s="1"/>
  <c r="A52" i="29" s="1"/>
  <c r="B23" i="30"/>
  <c r="R30" i="46" s="1"/>
  <c r="U3" i="37"/>
  <c r="Q3" i="27"/>
  <c r="Y3" i="46"/>
  <c r="B23" i="29"/>
  <c r="Q30" i="46" s="1"/>
  <c r="D8" i="32"/>
  <c r="I4" i="44" s="1"/>
  <c r="J4" i="44" s="1"/>
  <c r="H4" i="27"/>
  <c r="I4" i="27"/>
  <c r="D1" i="32"/>
  <c r="D99" i="59" s="1"/>
  <c r="C91" i="59"/>
  <c r="F1" i="32"/>
  <c r="F99" i="59" s="1"/>
  <c r="E91" i="59"/>
  <c r="G7" i="31"/>
  <c r="H7" i="32" s="1"/>
  <c r="G13" i="30"/>
  <c r="D10" i="24"/>
  <c r="D10" i="25"/>
  <c r="O18" i="35" s="1"/>
  <c r="O18" i="44"/>
  <c r="M18" i="35"/>
  <c r="I7" i="31"/>
  <c r="J7" i="32" s="1"/>
  <c r="I13" i="30"/>
  <c r="H1" i="32"/>
  <c r="H99" i="59" s="1"/>
  <c r="G91" i="59"/>
  <c r="D13" i="30"/>
  <c r="D7" i="31"/>
  <c r="E7" i="32" s="1"/>
  <c r="K1" i="32"/>
  <c r="K99" i="59" s="1"/>
  <c r="J91" i="59"/>
  <c r="I1" i="32"/>
  <c r="I99" i="59" s="1"/>
  <c r="H91" i="59"/>
  <c r="J1" i="32"/>
  <c r="J99" i="59" s="1"/>
  <c r="I91" i="59"/>
  <c r="C1" i="32"/>
  <c r="C99" i="59" s="1"/>
  <c r="B91" i="59"/>
  <c r="B37" i="23"/>
  <c r="B31" i="24"/>
  <c r="B31" i="25" s="1"/>
  <c r="B31" i="26" s="1"/>
  <c r="E1" i="32"/>
  <c r="E99" i="59" s="1"/>
  <c r="D91" i="59"/>
  <c r="E10" i="23"/>
  <c r="E10" i="28" s="1"/>
  <c r="C18" i="32"/>
  <c r="AE3" i="45" s="1"/>
  <c r="AG3" i="45" s="1"/>
  <c r="G1" i="32"/>
  <c r="G99" i="59" s="1"/>
  <c r="F91" i="59"/>
  <c r="Q18" i="27"/>
  <c r="M1" i="32"/>
  <c r="M99" i="59" s="1"/>
  <c r="L91" i="59"/>
  <c r="D10" i="26"/>
  <c r="P18" i="35" s="1"/>
  <c r="N17" i="35"/>
  <c r="L1" i="32"/>
  <c r="L99" i="59" s="1"/>
  <c r="K91" i="59"/>
  <c r="J37" i="23"/>
  <c r="J31" i="24"/>
  <c r="J31" i="25" s="1"/>
  <c r="J31" i="26" s="1"/>
  <c r="N19" i="27"/>
  <c r="I4" i="43"/>
  <c r="J4" i="43" s="1"/>
  <c r="D100" i="59"/>
  <c r="R32" i="43"/>
  <c r="D87" i="59"/>
  <c r="P33" i="43"/>
  <c r="E71" i="59"/>
  <c r="N5" i="27"/>
  <c r="E45" i="59"/>
  <c r="Q32" i="43"/>
  <c r="D79" i="59"/>
  <c r="T18" i="43"/>
  <c r="V18" i="43" s="1"/>
  <c r="D102" i="59"/>
  <c r="S18" i="43"/>
  <c r="D94" i="59"/>
  <c r="N4" i="27"/>
  <c r="D45" i="59"/>
  <c r="Q18" i="43"/>
  <c r="D78" i="59"/>
  <c r="S32" i="43"/>
  <c r="D95" i="59"/>
  <c r="F53" i="59"/>
  <c r="O5" i="27"/>
  <c r="E53" i="59"/>
  <c r="T32" i="43"/>
  <c r="V32" i="43" s="1"/>
  <c r="D103" i="59"/>
  <c r="E3" i="28"/>
  <c r="E69" i="59" s="1"/>
  <c r="D69" i="59"/>
  <c r="I3" i="43"/>
  <c r="C100" i="59"/>
  <c r="P19" i="27"/>
  <c r="R19" i="27" s="1"/>
  <c r="Y7" i="43"/>
  <c r="G32" i="59"/>
  <c r="Q4" i="43"/>
  <c r="D77" i="59"/>
  <c r="P33" i="27"/>
  <c r="R33" i="27" s="1"/>
  <c r="E63" i="59"/>
  <c r="AC4" i="43"/>
  <c r="D88" i="59"/>
  <c r="B24" i="30"/>
  <c r="AC2" i="46" s="1"/>
  <c r="H4" i="43"/>
  <c r="D92" i="59"/>
  <c r="O4" i="27"/>
  <c r="D53" i="59"/>
  <c r="A63" i="59"/>
  <c r="J29" i="41"/>
  <c r="J29" i="42"/>
  <c r="J29" i="39"/>
  <c r="J29" i="40"/>
  <c r="J29" i="37"/>
  <c r="J29" i="38"/>
  <c r="J29" i="36"/>
  <c r="J29" i="27"/>
  <c r="J29" i="35"/>
  <c r="A64" i="59"/>
  <c r="S1" i="40"/>
  <c r="S1" i="37"/>
  <c r="S1" i="38"/>
  <c r="S1" i="36"/>
  <c r="S1" i="27"/>
  <c r="S1" i="35"/>
  <c r="S1" i="41"/>
  <c r="S1" i="39"/>
  <c r="S1" i="42"/>
  <c r="A21" i="23"/>
  <c r="A15" i="24"/>
  <c r="A15" i="25" s="1"/>
  <c r="A15" i="26" s="1"/>
  <c r="A77" i="59"/>
  <c r="A3" i="30"/>
  <c r="A9" i="29"/>
  <c r="A15" i="29" s="1"/>
  <c r="A21" i="29" s="1"/>
  <c r="A27" i="29" s="1"/>
  <c r="A33" i="29" s="1"/>
  <c r="A39" i="29" s="1"/>
  <c r="A45" i="29" s="1"/>
  <c r="A51" i="29" s="1"/>
  <c r="A3" i="26"/>
  <c r="A53" i="59"/>
  <c r="A62" i="59"/>
  <c r="J15" i="39"/>
  <c r="J15" i="37"/>
  <c r="J15" i="38"/>
  <c r="J15" i="40"/>
  <c r="J15" i="36"/>
  <c r="J15" i="41"/>
  <c r="J15" i="27"/>
  <c r="J15" i="35"/>
  <c r="J15" i="42"/>
  <c r="A2" i="26"/>
  <c r="A52" i="59"/>
  <c r="W2" i="37"/>
  <c r="N30" i="47"/>
  <c r="L30" i="38"/>
  <c r="B27" i="23"/>
  <c r="B27" i="25" s="1"/>
  <c r="O2" i="38" s="1"/>
  <c r="O2" i="46"/>
  <c r="M2" i="37"/>
  <c r="E21" i="22"/>
  <c r="N4" i="46"/>
  <c r="L4" i="37"/>
  <c r="D22" i="22"/>
  <c r="N17" i="46"/>
  <c r="L17" i="37"/>
  <c r="C22" i="23"/>
  <c r="D12" i="28"/>
  <c r="D12" i="31" s="1"/>
  <c r="AD4" i="44" s="1"/>
  <c r="AA3" i="44"/>
  <c r="C12" i="30"/>
  <c r="AC3" i="44" s="1"/>
  <c r="F3" i="24"/>
  <c r="O6" i="43"/>
  <c r="M6" i="27"/>
  <c r="N33" i="44"/>
  <c r="L33" i="35"/>
  <c r="N32" i="45"/>
  <c r="L32" i="36"/>
  <c r="N31" i="46"/>
  <c r="L31" i="37"/>
  <c r="G8" i="22"/>
  <c r="C6" i="35"/>
  <c r="F8" i="23"/>
  <c r="R3" i="36"/>
  <c r="Q3" i="36"/>
  <c r="F7" i="31"/>
  <c r="G7" i="32" s="1"/>
  <c r="F13" i="30"/>
  <c r="N16" i="37"/>
  <c r="C22" i="26"/>
  <c r="P17" i="37" s="1"/>
  <c r="B29" i="28"/>
  <c r="P30" i="46"/>
  <c r="J7" i="31"/>
  <c r="K7" i="32" s="1"/>
  <c r="J13" i="30"/>
  <c r="F9" i="22"/>
  <c r="N5" i="44"/>
  <c r="L5" i="35"/>
  <c r="E9" i="23"/>
  <c r="C16" i="24"/>
  <c r="C30" i="22"/>
  <c r="Q7" i="22"/>
  <c r="R6" i="22"/>
  <c r="V31" i="44"/>
  <c r="U31" i="44"/>
  <c r="B30" i="28"/>
  <c r="AA2" i="46"/>
  <c r="B24" i="31"/>
  <c r="AD2" i="46" s="1"/>
  <c r="E24" i="22"/>
  <c r="Y4" i="46"/>
  <c r="U4" i="37"/>
  <c r="L37" i="23"/>
  <c r="L31" i="24"/>
  <c r="L31" i="25" s="1"/>
  <c r="L31" i="26" s="1"/>
  <c r="B21" i="24"/>
  <c r="N7" i="43"/>
  <c r="L7" i="27"/>
  <c r="W3" i="36"/>
  <c r="W3" i="35"/>
  <c r="D12" i="26"/>
  <c r="Y4" i="35" s="1"/>
  <c r="A29" i="23"/>
  <c r="A23" i="24"/>
  <c r="A23" i="25" s="1"/>
  <c r="A23" i="26" s="1"/>
  <c r="E8" i="28"/>
  <c r="E4" i="44"/>
  <c r="D8" i="29"/>
  <c r="D8" i="30"/>
  <c r="G4" i="44" s="1"/>
  <c r="M7" i="31"/>
  <c r="M13" i="30"/>
  <c r="C37" i="23"/>
  <c r="C31" i="24"/>
  <c r="C31" i="25" s="1"/>
  <c r="C31" i="26" s="1"/>
  <c r="B7" i="31"/>
  <c r="C7" i="32" s="1"/>
  <c r="B13" i="30"/>
  <c r="F14" i="22"/>
  <c r="C5" i="45"/>
  <c r="C5" i="36"/>
  <c r="O20" i="43"/>
  <c r="M20" i="27"/>
  <c r="L35" i="27"/>
  <c r="O32" i="44"/>
  <c r="M32" i="35"/>
  <c r="C17" i="28"/>
  <c r="P31" i="45" s="1"/>
  <c r="O31" i="45"/>
  <c r="M31" i="36"/>
  <c r="AF3" i="44"/>
  <c r="AG3" i="44"/>
  <c r="C2" i="39"/>
  <c r="B38" i="22"/>
  <c r="B29" i="23"/>
  <c r="O30" i="46"/>
  <c r="M30" i="37"/>
  <c r="B30" i="23"/>
  <c r="Z2" i="46"/>
  <c r="V2" i="37"/>
  <c r="B24" i="25"/>
  <c r="X2" i="37" s="1"/>
  <c r="B28" i="28"/>
  <c r="B28" i="31" s="1"/>
  <c r="S16" i="47" s="1"/>
  <c r="P16" i="46"/>
  <c r="E2" i="36"/>
  <c r="C14" i="26"/>
  <c r="G3" i="36" s="1"/>
  <c r="C7" i="31"/>
  <c r="D7" i="32" s="1"/>
  <c r="C13" i="30"/>
  <c r="B22" i="29"/>
  <c r="D9" i="24"/>
  <c r="Q3" i="44"/>
  <c r="B26" i="28"/>
  <c r="C26" i="22"/>
  <c r="C3" i="46"/>
  <c r="C3" i="37"/>
  <c r="C20" i="23"/>
  <c r="C20" i="24" s="1"/>
  <c r="D20" i="22"/>
  <c r="E3" i="36"/>
  <c r="Y2" i="47"/>
  <c r="U2" i="38"/>
  <c r="B36" i="22"/>
  <c r="C24" i="23"/>
  <c r="A28" i="23"/>
  <c r="A22" i="24"/>
  <c r="A22" i="25" s="1"/>
  <c r="A22" i="26" s="1"/>
  <c r="K7" i="31"/>
  <c r="L7" i="32" s="1"/>
  <c r="K13" i="30"/>
  <c r="C12" i="29"/>
  <c r="G15" i="22"/>
  <c r="N6" i="45"/>
  <c r="L6" i="36"/>
  <c r="E7" i="31"/>
  <c r="F7" i="32" s="1"/>
  <c r="E13" i="30"/>
  <c r="I37" i="23"/>
  <c r="I31" i="24"/>
  <c r="I31" i="25" s="1"/>
  <c r="I31" i="26" s="1"/>
  <c r="B21" i="31"/>
  <c r="S2" i="46" s="1"/>
  <c r="C18" i="26"/>
  <c r="Y3" i="36" s="1"/>
  <c r="D11" i="26"/>
  <c r="P32" i="35" s="1"/>
  <c r="N31" i="35"/>
  <c r="H4" i="35"/>
  <c r="I4" i="35"/>
  <c r="D3" i="31"/>
  <c r="P4" i="43"/>
  <c r="E37" i="23"/>
  <c r="E31" i="24"/>
  <c r="E31" i="25" s="1"/>
  <c r="E31" i="26" s="1"/>
  <c r="E16" i="22"/>
  <c r="N18" i="45"/>
  <c r="L18" i="36"/>
  <c r="D16" i="23"/>
  <c r="D16" i="24" s="1"/>
  <c r="L17" i="38"/>
  <c r="L7" i="31"/>
  <c r="M7" i="32" s="1"/>
  <c r="L13" i="30"/>
  <c r="P18" i="44"/>
  <c r="D10" i="31"/>
  <c r="S18" i="44" s="1"/>
  <c r="D10" i="29"/>
  <c r="D10" i="30"/>
  <c r="R18" i="44" s="1"/>
  <c r="F15" i="23"/>
  <c r="O5" i="45"/>
  <c r="M5" i="36"/>
  <c r="E15" i="24"/>
  <c r="H7" i="31"/>
  <c r="I7" i="32" s="1"/>
  <c r="H13" i="30"/>
  <c r="B21" i="25"/>
  <c r="O2" i="37" s="1"/>
  <c r="D37" i="23"/>
  <c r="D31" i="24"/>
  <c r="D31" i="25" s="1"/>
  <c r="D31" i="26" s="1"/>
  <c r="N2" i="47"/>
  <c r="L2" i="38"/>
  <c r="B33" i="22"/>
  <c r="D3" i="30"/>
  <c r="D5" i="44"/>
  <c r="D5" i="35"/>
  <c r="E8" i="24"/>
  <c r="E8" i="25"/>
  <c r="F5" i="35" s="1"/>
  <c r="A20" i="23"/>
  <c r="A14" i="24"/>
  <c r="A14" i="25" s="1"/>
  <c r="A14" i="26" s="1"/>
  <c r="Z3" i="45"/>
  <c r="V3" i="36"/>
  <c r="C18" i="28"/>
  <c r="E18" i="22"/>
  <c r="Y4" i="45"/>
  <c r="U4" i="36"/>
  <c r="D18" i="23"/>
  <c r="D18" i="24" s="1"/>
  <c r="E15" i="25"/>
  <c r="O5" i="36" s="1"/>
  <c r="B27" i="28"/>
  <c r="P2" i="46"/>
  <c r="B26" i="23"/>
  <c r="B26" i="25" s="1"/>
  <c r="F2" i="38" s="1"/>
  <c r="D2" i="37"/>
  <c r="B20" i="30"/>
  <c r="G2" i="46" s="1"/>
  <c r="B20" i="29"/>
  <c r="B20" i="24"/>
  <c r="B20" i="31"/>
  <c r="H2" i="46" s="1"/>
  <c r="B20" i="25"/>
  <c r="F2" i="37" s="1"/>
  <c r="A2" i="30"/>
  <c r="A84" i="59" s="1"/>
  <c r="A8" i="29"/>
  <c r="A14" i="29" s="1"/>
  <c r="A20" i="29" s="1"/>
  <c r="A26" i="29" s="1"/>
  <c r="A32" i="29" s="1"/>
  <c r="A38" i="29" s="1"/>
  <c r="A44" i="29" s="1"/>
  <c r="A50" i="29" s="1"/>
  <c r="B22" i="31"/>
  <c r="S16" i="46" s="1"/>
  <c r="B34" i="23"/>
  <c r="O16" i="47"/>
  <c r="M16" i="38"/>
  <c r="B28" i="24"/>
  <c r="F37" i="23"/>
  <c r="F31" i="24"/>
  <c r="F31" i="25" s="1"/>
  <c r="F31" i="26" s="1"/>
  <c r="M37" i="23"/>
  <c r="M31" i="24"/>
  <c r="M31" i="25" s="1"/>
  <c r="M31" i="26" s="1"/>
  <c r="D8" i="31"/>
  <c r="H4" i="44" s="1"/>
  <c r="D9" i="25"/>
  <c r="O4" i="35" s="1"/>
  <c r="O4" i="44"/>
  <c r="M4" i="35"/>
  <c r="D9" i="28"/>
  <c r="D9" i="29" s="1"/>
  <c r="O17" i="45"/>
  <c r="M17" i="36"/>
  <c r="C16" i="28"/>
  <c r="N3" i="46"/>
  <c r="L3" i="37"/>
  <c r="C21" i="23"/>
  <c r="R3" i="35"/>
  <c r="Q3" i="35"/>
  <c r="D14" i="23"/>
  <c r="E14" i="23" s="1"/>
  <c r="D3" i="45"/>
  <c r="D3" i="36"/>
  <c r="C14" i="28"/>
  <c r="C14" i="29" s="1"/>
  <c r="G37" i="23"/>
  <c r="G31" i="24"/>
  <c r="G31" i="25" s="1"/>
  <c r="G31" i="26" s="1"/>
  <c r="P3" i="44"/>
  <c r="C9" i="30"/>
  <c r="R3" i="44" s="1"/>
  <c r="C9" i="31"/>
  <c r="S3" i="44" s="1"/>
  <c r="G10" i="22"/>
  <c r="N20" i="44"/>
  <c r="L20" i="35"/>
  <c r="R31" i="35"/>
  <c r="Q31" i="35"/>
  <c r="H3" i="35"/>
  <c r="I3" i="35"/>
  <c r="B24" i="29"/>
  <c r="B28" i="25"/>
  <c r="O16" i="38" s="1"/>
  <c r="Q7" i="25"/>
  <c r="R6" i="25"/>
  <c r="Q16" i="45"/>
  <c r="C16" i="32"/>
  <c r="T17" i="45" s="1"/>
  <c r="A30" i="23"/>
  <c r="A24" i="24"/>
  <c r="A24" i="25" s="1"/>
  <c r="A24" i="26" s="1"/>
  <c r="B21" i="30"/>
  <c r="R2" i="46" s="1"/>
  <c r="F10" i="23"/>
  <c r="N16" i="49"/>
  <c r="L16" i="40"/>
  <c r="B46" i="22"/>
  <c r="E12" i="23"/>
  <c r="E12" i="24" s="1"/>
  <c r="Z4" i="44"/>
  <c r="V4" i="35"/>
  <c r="F12" i="22"/>
  <c r="Y5" i="44"/>
  <c r="U5" i="35"/>
  <c r="C18" i="25"/>
  <c r="X3" i="36" s="1"/>
  <c r="U7" i="27"/>
  <c r="D17" i="23"/>
  <c r="E17" i="22"/>
  <c r="C17" i="25"/>
  <c r="O31" i="36" s="1"/>
  <c r="D23" i="22"/>
  <c r="C23" i="23"/>
  <c r="C23" i="25" s="1"/>
  <c r="O31" i="37" s="1"/>
  <c r="C17" i="24"/>
  <c r="B35" i="22"/>
  <c r="C29" i="22"/>
  <c r="F11" i="22"/>
  <c r="E11" i="23"/>
  <c r="D11" i="25"/>
  <c r="D11" i="28"/>
  <c r="P32" i="44" s="1"/>
  <c r="Q7" i="26"/>
  <c r="R22" i="23"/>
  <c r="F6" i="25"/>
  <c r="E4" i="31"/>
  <c r="F4" i="24"/>
  <c r="E5" i="29"/>
  <c r="F4" i="25"/>
  <c r="E3" i="31"/>
  <c r="F3" i="26"/>
  <c r="E5" i="32"/>
  <c r="H3" i="22"/>
  <c r="H29" i="59" s="1"/>
  <c r="F2" i="24"/>
  <c r="H6" i="22"/>
  <c r="E5" i="31"/>
  <c r="E5" i="30"/>
  <c r="G3" i="23"/>
  <c r="G37" i="59" s="1"/>
  <c r="L15" i="51" l="1"/>
  <c r="L15" i="43"/>
  <c r="L15" i="44"/>
  <c r="L15" i="45"/>
  <c r="L15" i="48"/>
  <c r="L15" i="46"/>
  <c r="L15" i="47"/>
  <c r="L15" i="49"/>
  <c r="L15" i="50"/>
  <c r="L29" i="50"/>
  <c r="L29" i="51"/>
  <c r="L29" i="43"/>
  <c r="L29" i="47"/>
  <c r="L29" i="44"/>
  <c r="L29" i="45"/>
  <c r="L29" i="46"/>
  <c r="L29" i="48"/>
  <c r="L29" i="49"/>
  <c r="U31" i="45"/>
  <c r="U3" i="44"/>
  <c r="D84" i="59"/>
  <c r="D96" i="59"/>
  <c r="V17" i="44"/>
  <c r="R18" i="43"/>
  <c r="A31" i="30"/>
  <c r="A25" i="31"/>
  <c r="A25" i="32" s="1"/>
  <c r="D86" i="59"/>
  <c r="D104" i="59"/>
  <c r="E3" i="29"/>
  <c r="Q5" i="43" s="1"/>
  <c r="E3" i="30"/>
  <c r="R5" i="43" s="1"/>
  <c r="C14" i="32"/>
  <c r="I3" i="45" s="1"/>
  <c r="Q4" i="35"/>
  <c r="Y5" i="27"/>
  <c r="AA5" i="27" s="1"/>
  <c r="B34" i="25"/>
  <c r="O16" i="39" s="1"/>
  <c r="E47" i="59"/>
  <c r="N33" i="27"/>
  <c r="E55" i="59"/>
  <c r="Q17" i="36"/>
  <c r="G5" i="27"/>
  <c r="I5" i="27" s="1"/>
  <c r="H2" i="22"/>
  <c r="H28" i="59" s="1"/>
  <c r="C7" i="27"/>
  <c r="A17" i="30"/>
  <c r="N35" i="43"/>
  <c r="J3" i="44"/>
  <c r="C36" i="22"/>
  <c r="D10" i="32"/>
  <c r="T18" i="44" s="1"/>
  <c r="V18" i="44" s="1"/>
  <c r="H5" i="22"/>
  <c r="H31" i="59" s="1"/>
  <c r="F2" i="26"/>
  <c r="G6" i="27" s="1"/>
  <c r="I6" i="27" s="1"/>
  <c r="G4" i="23"/>
  <c r="G38" i="59" s="1"/>
  <c r="D15" i="28"/>
  <c r="P3" i="45"/>
  <c r="L21" i="27"/>
  <c r="N21" i="43"/>
  <c r="E44" i="59"/>
  <c r="G33" i="59"/>
  <c r="H4" i="22"/>
  <c r="H30" i="59" s="1"/>
  <c r="S22" i="22"/>
  <c r="N17" i="47"/>
  <c r="D28" i="22"/>
  <c r="D28" i="23" s="1"/>
  <c r="D28" i="25" s="1"/>
  <c r="O18" i="38" s="1"/>
  <c r="G2" i="23"/>
  <c r="G36" i="59" s="1"/>
  <c r="B28" i="30"/>
  <c r="R16" i="47" s="1"/>
  <c r="F2" i="25"/>
  <c r="F6" i="27" s="1"/>
  <c r="E12" i="26"/>
  <c r="Y5" i="35" s="1"/>
  <c r="AA5" i="35" s="1"/>
  <c r="D6" i="27"/>
  <c r="G3" i="26"/>
  <c r="D73" i="59"/>
  <c r="C15" i="32"/>
  <c r="T3" i="45" s="1"/>
  <c r="V3" i="45" s="1"/>
  <c r="C23" i="26"/>
  <c r="P31" i="37" s="1"/>
  <c r="R31" i="37" s="1"/>
  <c r="AB4" i="43"/>
  <c r="H5" i="35"/>
  <c r="A95" i="59"/>
  <c r="E6" i="32"/>
  <c r="AE5" i="43" s="1"/>
  <c r="AG5" i="43" s="1"/>
  <c r="D11" i="32"/>
  <c r="T32" i="44" s="1"/>
  <c r="V32" i="44" s="1"/>
  <c r="E56" i="59"/>
  <c r="F6" i="24"/>
  <c r="G6" i="26" s="1"/>
  <c r="Y7" i="27" s="1"/>
  <c r="Z7" i="27" s="1"/>
  <c r="G6" i="23"/>
  <c r="G40" i="59" s="1"/>
  <c r="V6" i="27"/>
  <c r="Z6" i="43"/>
  <c r="E52" i="59"/>
  <c r="D15" i="26"/>
  <c r="P4" i="36" s="1"/>
  <c r="R4" i="36" s="1"/>
  <c r="C15" i="29"/>
  <c r="Q3" i="45" s="1"/>
  <c r="O4" i="36"/>
  <c r="L3" i="38"/>
  <c r="D65" i="59"/>
  <c r="C15" i="31"/>
  <c r="S3" i="45" s="1"/>
  <c r="N3" i="47"/>
  <c r="U32" i="43"/>
  <c r="F4" i="26"/>
  <c r="F62" i="59" s="1"/>
  <c r="AA5" i="43"/>
  <c r="F6" i="28"/>
  <c r="F6" i="29" s="1"/>
  <c r="AB6" i="43" s="1"/>
  <c r="E6" i="31"/>
  <c r="AD5" i="43" s="1"/>
  <c r="E54" i="59"/>
  <c r="N3" i="36"/>
  <c r="E6" i="30"/>
  <c r="D76" i="59"/>
  <c r="E2" i="32"/>
  <c r="E100" i="59" s="1"/>
  <c r="E6" i="29"/>
  <c r="G6" i="25"/>
  <c r="G56" i="59" s="1"/>
  <c r="F4" i="28"/>
  <c r="F70" i="59" s="1"/>
  <c r="E4" i="29"/>
  <c r="Q19" i="43" s="1"/>
  <c r="P19" i="43"/>
  <c r="E4" i="30"/>
  <c r="E86" i="59" s="1"/>
  <c r="E2" i="30"/>
  <c r="G5" i="43" s="1"/>
  <c r="E2" i="31"/>
  <c r="H5" i="43" s="1"/>
  <c r="F5" i="28"/>
  <c r="F71" i="59" s="1"/>
  <c r="F2" i="28"/>
  <c r="F68" i="59" s="1"/>
  <c r="M34" i="27"/>
  <c r="F5" i="24"/>
  <c r="N34" i="27" s="1"/>
  <c r="O34" i="43"/>
  <c r="F41" i="59"/>
  <c r="G5" i="23"/>
  <c r="G39" i="59" s="1"/>
  <c r="E5" i="43"/>
  <c r="A88" i="59"/>
  <c r="A6" i="31"/>
  <c r="A12" i="30"/>
  <c r="E2" i="29"/>
  <c r="E76" i="59" s="1"/>
  <c r="F5" i="25"/>
  <c r="O34" i="27" s="1"/>
  <c r="B28" i="29"/>
  <c r="Q16" i="47" s="1"/>
  <c r="F6" i="26"/>
  <c r="C105" i="59"/>
  <c r="D14" i="26"/>
  <c r="G4" i="36" s="1"/>
  <c r="I4" i="36" s="1"/>
  <c r="K4" i="44"/>
  <c r="D101" i="59"/>
  <c r="F3" i="28"/>
  <c r="F69" i="59" s="1"/>
  <c r="U18" i="43"/>
  <c r="B29" i="31"/>
  <c r="S30" i="47" s="1"/>
  <c r="E48" i="59"/>
  <c r="Q31" i="36"/>
  <c r="P5" i="27"/>
  <c r="R5" i="27" s="1"/>
  <c r="C17" i="31"/>
  <c r="S31" i="45" s="1"/>
  <c r="C17" i="30"/>
  <c r="R31" i="45" s="1"/>
  <c r="P5" i="43"/>
  <c r="C17" i="29"/>
  <c r="B29" i="25"/>
  <c r="O30" i="38" s="1"/>
  <c r="B30" i="31"/>
  <c r="AD2" i="47" s="1"/>
  <c r="E3" i="32"/>
  <c r="T5" i="43" s="1"/>
  <c r="U4" i="43"/>
  <c r="Q33" i="27"/>
  <c r="Z5" i="27"/>
  <c r="U3" i="43"/>
  <c r="V3" i="43"/>
  <c r="C23" i="32"/>
  <c r="T31" i="46" s="1"/>
  <c r="U31" i="46" s="1"/>
  <c r="E12" i="25"/>
  <c r="X5" i="35" s="1"/>
  <c r="K4" i="43"/>
  <c r="E73" i="59"/>
  <c r="B30" i="30"/>
  <c r="AC2" i="47" s="1"/>
  <c r="B30" i="24"/>
  <c r="W2" i="38" s="1"/>
  <c r="B27" i="30"/>
  <c r="R2" i="47" s="1"/>
  <c r="B30" i="29"/>
  <c r="B27" i="24"/>
  <c r="C27" i="26" s="1"/>
  <c r="P3" i="38" s="1"/>
  <c r="Q19" i="27"/>
  <c r="A86" i="59"/>
  <c r="A4" i="31"/>
  <c r="A10" i="30"/>
  <c r="C23" i="24"/>
  <c r="N31" i="37" s="1"/>
  <c r="E10" i="24"/>
  <c r="O19" i="44"/>
  <c r="M19" i="35"/>
  <c r="E10" i="25"/>
  <c r="O19" i="35" s="1"/>
  <c r="B29" i="30"/>
  <c r="R30" i="47" s="1"/>
  <c r="AF3" i="45"/>
  <c r="B29" i="29"/>
  <c r="Q30" i="47" s="1"/>
  <c r="C34" i="22"/>
  <c r="D34" i="22" s="1"/>
  <c r="J43" i="23"/>
  <c r="J37" i="24"/>
  <c r="J37" i="25" s="1"/>
  <c r="J37" i="26" s="1"/>
  <c r="R18" i="35"/>
  <c r="Q18" i="35"/>
  <c r="B29" i="24"/>
  <c r="N30" i="38" s="1"/>
  <c r="AG4" i="43"/>
  <c r="B43" i="23"/>
  <c r="B37" i="24"/>
  <c r="B37" i="25" s="1"/>
  <c r="B37" i="26" s="1"/>
  <c r="D19" i="30"/>
  <c r="D13" i="31"/>
  <c r="E13" i="32" s="1"/>
  <c r="I19" i="30"/>
  <c r="I13" i="31"/>
  <c r="J13" i="32" s="1"/>
  <c r="C32" i="22"/>
  <c r="D32" i="22" s="1"/>
  <c r="N18" i="35"/>
  <c r="E10" i="26"/>
  <c r="P19" i="35" s="1"/>
  <c r="G13" i="31"/>
  <c r="H13" i="32" s="1"/>
  <c r="G19" i="30"/>
  <c r="D18" i="25"/>
  <c r="X4" i="36" s="1"/>
  <c r="D16" i="25"/>
  <c r="O18" i="36" s="1"/>
  <c r="C20" i="25"/>
  <c r="F3" i="37" s="1"/>
  <c r="S5" i="43"/>
  <c r="E93" i="59"/>
  <c r="S19" i="43"/>
  <c r="E94" i="59"/>
  <c r="R4" i="43"/>
  <c r="D85" i="59"/>
  <c r="E85" i="59"/>
  <c r="D9" i="31"/>
  <c r="S4" i="44" s="1"/>
  <c r="S33" i="43"/>
  <c r="E95" i="59"/>
  <c r="T33" i="43"/>
  <c r="V33" i="43" s="1"/>
  <c r="E103" i="59"/>
  <c r="N20" i="27"/>
  <c r="F46" i="59"/>
  <c r="F47" i="59"/>
  <c r="K3" i="43"/>
  <c r="J3" i="43"/>
  <c r="Y8" i="43"/>
  <c r="H32" i="59"/>
  <c r="O20" i="27"/>
  <c r="F54" i="59"/>
  <c r="P34" i="27"/>
  <c r="Q34" i="27" s="1"/>
  <c r="F63" i="59"/>
  <c r="T19" i="43"/>
  <c r="U19" i="43" s="1"/>
  <c r="E102" i="59"/>
  <c r="E65" i="59"/>
  <c r="E77" i="59"/>
  <c r="Q33" i="43"/>
  <c r="E79" i="59"/>
  <c r="P7" i="27"/>
  <c r="R7" i="27" s="1"/>
  <c r="G61" i="59"/>
  <c r="X6" i="27"/>
  <c r="F56" i="59"/>
  <c r="C24" i="26"/>
  <c r="Y3" i="37" s="1"/>
  <c r="AA3" i="37" s="1"/>
  <c r="W6" i="27"/>
  <c r="F48" i="59"/>
  <c r="S4" i="43"/>
  <c r="D93" i="59"/>
  <c r="R19" i="43"/>
  <c r="N6" i="27"/>
  <c r="F45" i="59"/>
  <c r="R33" i="43"/>
  <c r="E87" i="59"/>
  <c r="E6" i="27"/>
  <c r="F44" i="59"/>
  <c r="P6" i="27"/>
  <c r="Q6" i="27" s="1"/>
  <c r="F61" i="59"/>
  <c r="AB5" i="43"/>
  <c r="E80" i="59"/>
  <c r="W1" i="50"/>
  <c r="W1" i="49"/>
  <c r="W1" i="46"/>
  <c r="W1" i="51"/>
  <c r="W1" i="44"/>
  <c r="W1" i="47"/>
  <c r="W1" i="43"/>
  <c r="W1" i="48"/>
  <c r="W1" i="45"/>
  <c r="A61" i="59"/>
  <c r="J1" i="42"/>
  <c r="J1" i="27"/>
  <c r="J1" i="40"/>
  <c r="J1" i="41"/>
  <c r="J1" i="39"/>
  <c r="J1" i="36"/>
  <c r="J1" i="35"/>
  <c r="J1" i="37"/>
  <c r="J1" i="38"/>
  <c r="A60" i="59"/>
  <c r="A1" i="38"/>
  <c r="A1" i="36"/>
  <c r="A1" i="27"/>
  <c r="A1" i="35"/>
  <c r="A1" i="42"/>
  <c r="A1" i="40"/>
  <c r="A1" i="41"/>
  <c r="A1" i="37"/>
  <c r="A1" i="39"/>
  <c r="A85" i="59"/>
  <c r="A3" i="31"/>
  <c r="A9" i="30"/>
  <c r="A27" i="23"/>
  <c r="A21" i="24"/>
  <c r="A21" i="25" s="1"/>
  <c r="A21" i="26" s="1"/>
  <c r="F3" i="45"/>
  <c r="N33" i="45"/>
  <c r="L33" i="36"/>
  <c r="C21" i="24"/>
  <c r="O3" i="46"/>
  <c r="M3" i="37"/>
  <c r="C21" i="28"/>
  <c r="P3" i="46" s="1"/>
  <c r="P17" i="45"/>
  <c r="C16" i="29"/>
  <c r="E5" i="35"/>
  <c r="F8" i="26"/>
  <c r="G6" i="35" s="1"/>
  <c r="G15" i="23"/>
  <c r="O6" i="45"/>
  <c r="M6" i="36"/>
  <c r="I43" i="23"/>
  <c r="I37" i="24"/>
  <c r="I37" i="25" s="1"/>
  <c r="I37" i="26" s="1"/>
  <c r="Q8" i="22"/>
  <c r="R7" i="22"/>
  <c r="N22" i="43"/>
  <c r="L22" i="27"/>
  <c r="E11" i="26"/>
  <c r="P33" i="35" s="1"/>
  <c r="O32" i="35"/>
  <c r="N34" i="44"/>
  <c r="L34" i="35"/>
  <c r="D17" i="26"/>
  <c r="P32" i="36" s="1"/>
  <c r="N31" i="36"/>
  <c r="C23" i="28"/>
  <c r="P31" i="46" s="1"/>
  <c r="O31" i="46"/>
  <c r="M31" i="37"/>
  <c r="O32" i="45"/>
  <c r="M32" i="36"/>
  <c r="W5" i="35"/>
  <c r="A23" i="30"/>
  <c r="A17" i="31"/>
  <c r="A17" i="32" s="1"/>
  <c r="C21" i="25"/>
  <c r="O3" i="37" s="1"/>
  <c r="F43" i="23"/>
  <c r="F37" i="24"/>
  <c r="F37" i="25" s="1"/>
  <c r="F37" i="26" s="1"/>
  <c r="K3" i="45"/>
  <c r="J3" i="45"/>
  <c r="E15" i="28"/>
  <c r="P4" i="45"/>
  <c r="D15" i="30"/>
  <c r="R4" i="45" s="1"/>
  <c r="D15" i="29"/>
  <c r="D15" i="31"/>
  <c r="S4" i="45" s="1"/>
  <c r="B27" i="31"/>
  <c r="S2" i="47" s="1"/>
  <c r="N2" i="48"/>
  <c r="L2" i="39"/>
  <c r="B39" i="22"/>
  <c r="D43" i="23"/>
  <c r="D37" i="24"/>
  <c r="D37" i="25" s="1"/>
  <c r="D37" i="26" s="1"/>
  <c r="F15" i="26"/>
  <c r="P6" i="36" s="1"/>
  <c r="N5" i="36"/>
  <c r="F10" i="28"/>
  <c r="F10" i="30" s="1"/>
  <c r="R20" i="44" s="1"/>
  <c r="P19" i="44"/>
  <c r="E10" i="31"/>
  <c r="S19" i="44" s="1"/>
  <c r="E10" i="29"/>
  <c r="E10" i="30"/>
  <c r="R19" i="44" s="1"/>
  <c r="N18" i="36"/>
  <c r="E43" i="23"/>
  <c r="E37" i="24"/>
  <c r="E37" i="25" s="1"/>
  <c r="E37" i="26" s="1"/>
  <c r="R32" i="35"/>
  <c r="Q32" i="35"/>
  <c r="H15" i="22"/>
  <c r="N7" i="45"/>
  <c r="L7" i="36"/>
  <c r="E3" i="37"/>
  <c r="D9" i="32"/>
  <c r="T4" i="44" s="1"/>
  <c r="C13" i="31"/>
  <c r="D13" i="32" s="1"/>
  <c r="C19" i="30"/>
  <c r="B13" i="31"/>
  <c r="C13" i="32" s="1"/>
  <c r="B19" i="30"/>
  <c r="A35" i="23"/>
  <c r="A29" i="24"/>
  <c r="A29" i="25" s="1"/>
  <c r="A29" i="26" s="1"/>
  <c r="L43" i="23"/>
  <c r="L37" i="24"/>
  <c r="L37" i="25" s="1"/>
  <c r="L37" i="26" s="1"/>
  <c r="J13" i="31"/>
  <c r="K13" i="32" s="1"/>
  <c r="J19" i="30"/>
  <c r="B35" i="28"/>
  <c r="P30" i="47"/>
  <c r="H8" i="22"/>
  <c r="C7" i="35"/>
  <c r="G8" i="23"/>
  <c r="O17" i="46"/>
  <c r="M17" i="37"/>
  <c r="C22" i="28"/>
  <c r="D21" i="23"/>
  <c r="E21" i="23" s="1"/>
  <c r="E21" i="24" s="1"/>
  <c r="N4" i="47"/>
  <c r="L4" i="38"/>
  <c r="P6" i="43"/>
  <c r="N36" i="43"/>
  <c r="L36" i="27"/>
  <c r="N8" i="43"/>
  <c r="L8" i="27"/>
  <c r="N31" i="47"/>
  <c r="L31" i="38"/>
  <c r="AB2" i="46"/>
  <c r="C24" i="32"/>
  <c r="AE3" i="46" s="1"/>
  <c r="W4" i="36"/>
  <c r="AA3" i="45"/>
  <c r="C18" i="29"/>
  <c r="C18" i="31"/>
  <c r="AD3" i="45" s="1"/>
  <c r="C18" i="30"/>
  <c r="AC3" i="45" s="1"/>
  <c r="O17" i="47"/>
  <c r="M17" i="38"/>
  <c r="C28" i="28"/>
  <c r="C28" i="29" s="1"/>
  <c r="E19" i="30"/>
  <c r="E13" i="31"/>
  <c r="F13" i="32" s="1"/>
  <c r="Z3" i="46"/>
  <c r="V3" i="37"/>
  <c r="C24" i="28"/>
  <c r="C24" i="30" s="1"/>
  <c r="AC3" i="46" s="1"/>
  <c r="C24" i="25"/>
  <c r="X3" i="37" s="1"/>
  <c r="C24" i="24"/>
  <c r="F8" i="28"/>
  <c r="F8" i="30" s="1"/>
  <c r="G6" i="44" s="1"/>
  <c r="E5" i="44"/>
  <c r="E8" i="29"/>
  <c r="E8" i="31"/>
  <c r="H5" i="44" s="1"/>
  <c r="E8" i="30"/>
  <c r="G5" i="44" s="1"/>
  <c r="D18" i="26"/>
  <c r="Y4" i="36" s="1"/>
  <c r="F9" i="23"/>
  <c r="O5" i="44"/>
  <c r="M5" i="35"/>
  <c r="Q4" i="44"/>
  <c r="Q31" i="37"/>
  <c r="N16" i="50"/>
  <c r="L16" i="41"/>
  <c r="B52" i="22"/>
  <c r="A36" i="23"/>
  <c r="A30" i="24"/>
  <c r="A30" i="25" s="1"/>
  <c r="A30" i="26" s="1"/>
  <c r="H10" i="22"/>
  <c r="N21" i="44"/>
  <c r="L21" i="35"/>
  <c r="G43" i="23"/>
  <c r="G37" i="24"/>
  <c r="G37" i="25" s="1"/>
  <c r="G37" i="26" s="1"/>
  <c r="E9" i="28"/>
  <c r="E9" i="30" s="1"/>
  <c r="R5" i="44" s="1"/>
  <c r="P4" i="44"/>
  <c r="D9" i="30"/>
  <c r="R4" i="44" s="1"/>
  <c r="A2" i="31"/>
  <c r="A8" i="30"/>
  <c r="E18" i="23"/>
  <c r="E18" i="24" s="1"/>
  <c r="Z4" i="45"/>
  <c r="V4" i="36"/>
  <c r="D18" i="28"/>
  <c r="Q18" i="44"/>
  <c r="E10" i="32"/>
  <c r="T19" i="44" s="1"/>
  <c r="L19" i="30"/>
  <c r="L13" i="31"/>
  <c r="M13" i="32" s="1"/>
  <c r="C28" i="24"/>
  <c r="F15" i="25"/>
  <c r="O6" i="36" s="1"/>
  <c r="AB3" i="44"/>
  <c r="D12" i="32"/>
  <c r="AE4" i="44" s="1"/>
  <c r="Y2" i="48"/>
  <c r="U2" i="39"/>
  <c r="B42" i="22"/>
  <c r="E20" i="22"/>
  <c r="C4" i="46"/>
  <c r="C4" i="37"/>
  <c r="D20" i="23"/>
  <c r="D20" i="24" s="1"/>
  <c r="D3" i="46"/>
  <c r="D3" i="37"/>
  <c r="C20" i="28"/>
  <c r="B34" i="28"/>
  <c r="B34" i="29" s="1"/>
  <c r="P16" i="47"/>
  <c r="B36" i="23"/>
  <c r="Z2" i="47"/>
  <c r="V2" i="38"/>
  <c r="B35" i="23"/>
  <c r="B35" i="24" s="1"/>
  <c r="N30" i="39" s="1"/>
  <c r="O30" i="47"/>
  <c r="M30" i="38"/>
  <c r="E14" i="25"/>
  <c r="F5" i="36" s="1"/>
  <c r="G14" i="22"/>
  <c r="C6" i="36"/>
  <c r="C43" i="23"/>
  <c r="C37" i="24"/>
  <c r="C37" i="25" s="1"/>
  <c r="C37" i="26" s="1"/>
  <c r="F4" i="44"/>
  <c r="E8" i="32"/>
  <c r="I5" i="44" s="1"/>
  <c r="R5" i="36"/>
  <c r="Q5" i="36"/>
  <c r="C33" i="22"/>
  <c r="D33" i="22" s="1"/>
  <c r="D30" i="22"/>
  <c r="Y3" i="47"/>
  <c r="U3" i="38"/>
  <c r="C30" i="23"/>
  <c r="F27" i="22"/>
  <c r="N5" i="47"/>
  <c r="L5" i="38"/>
  <c r="N17" i="36"/>
  <c r="D16" i="26"/>
  <c r="P18" i="36" s="1"/>
  <c r="E9" i="25"/>
  <c r="O5" i="35" s="1"/>
  <c r="G9" i="22"/>
  <c r="N6" i="44"/>
  <c r="L6" i="35"/>
  <c r="F13" i="31"/>
  <c r="G13" i="32" s="1"/>
  <c r="F19" i="30"/>
  <c r="E12" i="28"/>
  <c r="E12" i="31" s="1"/>
  <c r="AD5" i="44" s="1"/>
  <c r="AA4" i="44"/>
  <c r="D12" i="30"/>
  <c r="AC4" i="44" s="1"/>
  <c r="D12" i="29"/>
  <c r="C22" i="25"/>
  <c r="O17" i="37" s="1"/>
  <c r="C22" i="24"/>
  <c r="E22" i="22"/>
  <c r="N18" i="46"/>
  <c r="L18" i="37"/>
  <c r="D22" i="23"/>
  <c r="D22" i="24" s="1"/>
  <c r="C16" i="30"/>
  <c r="R17" i="45" s="1"/>
  <c r="E11" i="25"/>
  <c r="O33" i="35" s="1"/>
  <c r="O33" i="44"/>
  <c r="M33" i="35"/>
  <c r="D14" i="28"/>
  <c r="D14" i="29" s="1"/>
  <c r="E3" i="45"/>
  <c r="C14" i="31"/>
  <c r="H3" i="45" s="1"/>
  <c r="C14" i="30"/>
  <c r="G3" i="45" s="1"/>
  <c r="M43" i="23"/>
  <c r="M37" i="24"/>
  <c r="M37" i="25" s="1"/>
  <c r="M37" i="26" s="1"/>
  <c r="B40" i="23"/>
  <c r="O16" i="48"/>
  <c r="M16" i="39"/>
  <c r="C34" i="23"/>
  <c r="B34" i="24"/>
  <c r="C20" i="32"/>
  <c r="I3" i="46" s="1"/>
  <c r="B32" i="23"/>
  <c r="B32" i="25" s="1"/>
  <c r="F2" i="39" s="1"/>
  <c r="D2" i="38"/>
  <c r="B26" i="24"/>
  <c r="B26" i="31"/>
  <c r="H2" i="47" s="1"/>
  <c r="B26" i="29"/>
  <c r="B26" i="30"/>
  <c r="G2" i="47" s="1"/>
  <c r="B33" i="28"/>
  <c r="P2" i="47"/>
  <c r="A26" i="23"/>
  <c r="A20" i="24"/>
  <c r="A20" i="25" s="1"/>
  <c r="A20" i="26" s="1"/>
  <c r="F16" i="22"/>
  <c r="N19" i="45"/>
  <c r="L19" i="36"/>
  <c r="B32" i="28"/>
  <c r="Q16" i="46"/>
  <c r="C22" i="32"/>
  <c r="T17" i="46" s="1"/>
  <c r="F14" i="23"/>
  <c r="D5" i="45"/>
  <c r="D5" i="36"/>
  <c r="D36" i="22"/>
  <c r="Y3" i="48"/>
  <c r="U3" i="39"/>
  <c r="O7" i="43"/>
  <c r="M7" i="27"/>
  <c r="N30" i="48"/>
  <c r="L30" i="39"/>
  <c r="N32" i="46"/>
  <c r="L32" i="37"/>
  <c r="G12" i="22"/>
  <c r="Y6" i="44"/>
  <c r="U6" i="35"/>
  <c r="F12" i="23"/>
  <c r="F12" i="25" s="1"/>
  <c r="X6" i="35" s="1"/>
  <c r="Z5" i="44"/>
  <c r="V5" i="35"/>
  <c r="G10" i="23"/>
  <c r="O20" i="44"/>
  <c r="M20" i="35"/>
  <c r="F10" i="25"/>
  <c r="O20" i="35" s="1"/>
  <c r="F10" i="24"/>
  <c r="V17" i="45"/>
  <c r="U17" i="45"/>
  <c r="Q8" i="25"/>
  <c r="R7" i="25"/>
  <c r="D4" i="45"/>
  <c r="D4" i="36"/>
  <c r="D14" i="24"/>
  <c r="D14" i="25"/>
  <c r="F4" i="36" s="1"/>
  <c r="N16" i="38"/>
  <c r="C28" i="26"/>
  <c r="P17" i="38" s="1"/>
  <c r="E2" i="37"/>
  <c r="C20" i="26"/>
  <c r="G3" i="37" s="1"/>
  <c r="F18" i="22"/>
  <c r="Y5" i="45"/>
  <c r="U5" i="36"/>
  <c r="Z5" i="35"/>
  <c r="B27" i="29"/>
  <c r="H19" i="30"/>
  <c r="H13" i="31"/>
  <c r="I13" i="32" s="1"/>
  <c r="E16" i="23"/>
  <c r="O18" i="45"/>
  <c r="M18" i="36"/>
  <c r="D16" i="28"/>
  <c r="AA3" i="36"/>
  <c r="Z3" i="36"/>
  <c r="Q2" i="46"/>
  <c r="C21" i="32"/>
  <c r="T3" i="46" s="1"/>
  <c r="F15" i="24"/>
  <c r="K13" i="31"/>
  <c r="L13" i="32" s="1"/>
  <c r="K19" i="30"/>
  <c r="A34" i="23"/>
  <c r="A28" i="24"/>
  <c r="A28" i="25" s="1"/>
  <c r="A28" i="26" s="1"/>
  <c r="AB2" i="47"/>
  <c r="D26" i="22"/>
  <c r="C3" i="47"/>
  <c r="C3" i="38"/>
  <c r="C26" i="23"/>
  <c r="E9" i="26"/>
  <c r="P5" i="35" s="1"/>
  <c r="N4" i="35"/>
  <c r="H3" i="36"/>
  <c r="I3" i="36"/>
  <c r="C2" i="40"/>
  <c r="B44" i="22"/>
  <c r="E14" i="24"/>
  <c r="M19" i="30"/>
  <c r="M13" i="31"/>
  <c r="Z4" i="35"/>
  <c r="AA4" i="35"/>
  <c r="N2" i="37"/>
  <c r="C21" i="26"/>
  <c r="P3" i="37" s="1"/>
  <c r="C28" i="25"/>
  <c r="O17" i="38" s="1"/>
  <c r="D24" i="23"/>
  <c r="F24" i="22"/>
  <c r="Y5" i="46"/>
  <c r="U5" i="37"/>
  <c r="B36" i="28"/>
  <c r="AA2" i="47"/>
  <c r="U18" i="44"/>
  <c r="C16" i="31"/>
  <c r="S17" i="45" s="1"/>
  <c r="E9" i="24"/>
  <c r="Q17" i="37"/>
  <c r="R17" i="37"/>
  <c r="D6" i="35"/>
  <c r="F8" i="24"/>
  <c r="F8" i="25"/>
  <c r="F6" i="35" s="1"/>
  <c r="F21" i="22"/>
  <c r="N5" i="46"/>
  <c r="L5" i="37"/>
  <c r="B33" i="23"/>
  <c r="B33" i="24" s="1"/>
  <c r="O2" i="47"/>
  <c r="M2" i="38"/>
  <c r="B30" i="25"/>
  <c r="X2" i="38" s="1"/>
  <c r="C27" i="23"/>
  <c r="U8" i="27"/>
  <c r="F11" i="23"/>
  <c r="F11" i="24" s="1"/>
  <c r="E11" i="24"/>
  <c r="D29" i="22"/>
  <c r="C29" i="23"/>
  <c r="C29" i="24" s="1"/>
  <c r="N31" i="38" s="1"/>
  <c r="D23" i="23"/>
  <c r="E23" i="22"/>
  <c r="D17" i="25"/>
  <c r="O32" i="36" s="1"/>
  <c r="D17" i="28"/>
  <c r="E11" i="28"/>
  <c r="D11" i="30"/>
  <c r="R32" i="44" s="1"/>
  <c r="D11" i="29"/>
  <c r="Q32" i="44" s="1"/>
  <c r="D11" i="31"/>
  <c r="S32" i="44" s="1"/>
  <c r="C35" i="22"/>
  <c r="B41" i="22"/>
  <c r="G11" i="22"/>
  <c r="F17" i="22"/>
  <c r="E17" i="23"/>
  <c r="D17" i="24"/>
  <c r="N32" i="36" s="1"/>
  <c r="S22" i="23"/>
  <c r="G4" i="26"/>
  <c r="H3" i="23"/>
  <c r="H37" i="59" s="1"/>
  <c r="F5" i="32"/>
  <c r="G3" i="24"/>
  <c r="I6" i="22"/>
  <c r="G3" i="25"/>
  <c r="I3" i="22"/>
  <c r="I29" i="59" s="1"/>
  <c r="G2" i="24"/>
  <c r="G3" i="28"/>
  <c r="I4" i="22"/>
  <c r="I30" i="59" s="1"/>
  <c r="I5" i="22"/>
  <c r="I31" i="59" s="1"/>
  <c r="A1" i="51" l="1"/>
  <c r="A1" i="43"/>
  <c r="A1" i="44"/>
  <c r="A1" i="45"/>
  <c r="A1" i="46"/>
  <c r="A1" i="48"/>
  <c r="A1" i="47"/>
  <c r="A1" i="49"/>
  <c r="A1" i="50"/>
  <c r="U32" i="44"/>
  <c r="E92" i="59"/>
  <c r="D105" i="59"/>
  <c r="F3" i="32"/>
  <c r="A37" i="30"/>
  <c r="A31" i="31"/>
  <c r="A31" i="32" s="1"/>
  <c r="Q4" i="36"/>
  <c r="R7" i="26"/>
  <c r="H5" i="27"/>
  <c r="F60" i="59"/>
  <c r="G5" i="26"/>
  <c r="G63" i="59" s="1"/>
  <c r="Q5" i="27"/>
  <c r="R6" i="27"/>
  <c r="C8" i="27"/>
  <c r="H33" i="59"/>
  <c r="I2" i="22"/>
  <c r="I28" i="59" s="1"/>
  <c r="T22" i="22"/>
  <c r="L18" i="38"/>
  <c r="H6" i="23"/>
  <c r="H40" i="59" s="1"/>
  <c r="Z7" i="43"/>
  <c r="V7" i="27"/>
  <c r="M21" i="27"/>
  <c r="H2" i="23"/>
  <c r="H36" i="59" s="1"/>
  <c r="O21" i="43"/>
  <c r="G2" i="25"/>
  <c r="G4" i="25"/>
  <c r="O21" i="27" s="1"/>
  <c r="G4" i="24"/>
  <c r="D7" i="27"/>
  <c r="E84" i="59"/>
  <c r="X7" i="27"/>
  <c r="H4" i="23"/>
  <c r="H38" i="59" s="1"/>
  <c r="N18" i="47"/>
  <c r="G2" i="26"/>
  <c r="I5" i="43"/>
  <c r="K5" i="43" s="1"/>
  <c r="F52" i="59"/>
  <c r="P20" i="27"/>
  <c r="R20" i="27" s="1"/>
  <c r="H4" i="36"/>
  <c r="E28" i="22"/>
  <c r="F28" i="22" s="1"/>
  <c r="E104" i="59"/>
  <c r="F5" i="31"/>
  <c r="S34" i="43" s="1"/>
  <c r="F2" i="32"/>
  <c r="I6" i="43" s="1"/>
  <c r="R34" i="27"/>
  <c r="P34" i="43"/>
  <c r="C28" i="32"/>
  <c r="T17" i="47" s="1"/>
  <c r="U17" i="47" s="1"/>
  <c r="D15" i="32"/>
  <c r="T4" i="45" s="1"/>
  <c r="V4" i="45" s="1"/>
  <c r="U3" i="45"/>
  <c r="F72" i="59"/>
  <c r="F73" i="59" s="1"/>
  <c r="V31" i="46"/>
  <c r="G41" i="59"/>
  <c r="F6" i="32"/>
  <c r="E78" i="59"/>
  <c r="E96" i="59"/>
  <c r="F55" i="59"/>
  <c r="C30" i="32"/>
  <c r="AE3" i="47" s="1"/>
  <c r="AG3" i="47" s="1"/>
  <c r="G64" i="59"/>
  <c r="G6" i="24"/>
  <c r="H5" i="23"/>
  <c r="H39" i="59" s="1"/>
  <c r="F5" i="29"/>
  <c r="AA6" i="43"/>
  <c r="F6" i="30"/>
  <c r="F4" i="31"/>
  <c r="S20" i="43" s="1"/>
  <c r="G4" i="28"/>
  <c r="G4" i="30" s="1"/>
  <c r="G5" i="28"/>
  <c r="G71" i="59" s="1"/>
  <c r="F4" i="29"/>
  <c r="F78" i="59" s="1"/>
  <c r="E88" i="59"/>
  <c r="AC5" i="43"/>
  <c r="F5" i="30"/>
  <c r="R34" i="43" s="1"/>
  <c r="F6" i="31"/>
  <c r="AD6" i="43" s="1"/>
  <c r="P20" i="43"/>
  <c r="M35" i="27"/>
  <c r="G6" i="28"/>
  <c r="AA7" i="43" s="1"/>
  <c r="G5" i="24"/>
  <c r="N35" i="27" s="1"/>
  <c r="F4" i="30"/>
  <c r="O35" i="43"/>
  <c r="G5" i="25"/>
  <c r="O35" i="27" s="1"/>
  <c r="F2" i="31"/>
  <c r="H6" i="43" s="1"/>
  <c r="G2" i="28"/>
  <c r="G68" i="59" s="1"/>
  <c r="F2" i="30"/>
  <c r="G6" i="43" s="1"/>
  <c r="V19" i="43"/>
  <c r="F2" i="29"/>
  <c r="D20" i="26"/>
  <c r="G4" i="37" s="1"/>
  <c r="I4" i="37" s="1"/>
  <c r="F4" i="32"/>
  <c r="T20" i="43" s="1"/>
  <c r="V5" i="43"/>
  <c r="U5" i="43"/>
  <c r="F3" i="31"/>
  <c r="S6" i="43" s="1"/>
  <c r="E101" i="59"/>
  <c r="F3" i="30"/>
  <c r="F85" i="59" s="1"/>
  <c r="F3" i="29"/>
  <c r="F77" i="59" s="1"/>
  <c r="F5" i="43"/>
  <c r="A18" i="30"/>
  <c r="A12" i="31"/>
  <c r="A12" i="32" s="1"/>
  <c r="A6" i="32"/>
  <c r="A104" i="59" s="1"/>
  <c r="A96" i="59"/>
  <c r="C23" i="31"/>
  <c r="S31" i="46" s="1"/>
  <c r="C23" i="30"/>
  <c r="R31" i="46" s="1"/>
  <c r="H6" i="27"/>
  <c r="F11" i="25"/>
  <c r="O34" i="35" s="1"/>
  <c r="C28" i="31"/>
  <c r="S17" i="47" s="1"/>
  <c r="Y6" i="27"/>
  <c r="F64" i="59"/>
  <c r="F65" i="59" s="1"/>
  <c r="C29" i="26"/>
  <c r="P31" i="38" s="1"/>
  <c r="R31" i="38" s="1"/>
  <c r="AF5" i="43"/>
  <c r="AA7" i="27"/>
  <c r="E18" i="26"/>
  <c r="Y5" i="36" s="1"/>
  <c r="Z5" i="36" s="1"/>
  <c r="Q7" i="27"/>
  <c r="U33" i="43"/>
  <c r="D17" i="32"/>
  <c r="T32" i="45" s="1"/>
  <c r="V32" i="45" s="1"/>
  <c r="C39" i="22"/>
  <c r="L3" i="40" s="1"/>
  <c r="Q31" i="45"/>
  <c r="F12" i="26"/>
  <c r="Y6" i="35" s="1"/>
  <c r="Z6" i="35" s="1"/>
  <c r="B34" i="30"/>
  <c r="R16" i="48" s="1"/>
  <c r="N2" i="38"/>
  <c r="C3" i="39"/>
  <c r="C3" i="48"/>
  <c r="F10" i="29"/>
  <c r="Q20" i="44" s="1"/>
  <c r="C29" i="32"/>
  <c r="T31" i="47" s="1"/>
  <c r="V31" i="47" s="1"/>
  <c r="D23" i="26"/>
  <c r="P32" i="37" s="1"/>
  <c r="Q32" i="37" s="1"/>
  <c r="C34" i="24"/>
  <c r="N17" i="39" s="1"/>
  <c r="L17" i="39"/>
  <c r="C34" i="25"/>
  <c r="O17" i="39" s="1"/>
  <c r="N17" i="48"/>
  <c r="F80" i="59"/>
  <c r="A16" i="30"/>
  <c r="A10" i="31"/>
  <c r="A10" i="32" s="1"/>
  <c r="A4" i="32"/>
  <c r="A102" i="59" s="1"/>
  <c r="A94" i="59"/>
  <c r="Z3" i="37"/>
  <c r="D14" i="32"/>
  <c r="I4" i="45" s="1"/>
  <c r="K4" i="45" s="1"/>
  <c r="J49" i="23"/>
  <c r="J49" i="24" s="1"/>
  <c r="J49" i="25" s="1"/>
  <c r="J49" i="26" s="1"/>
  <c r="J43" i="24"/>
  <c r="J43" i="25" s="1"/>
  <c r="J43" i="26" s="1"/>
  <c r="C21" i="31"/>
  <c r="S3" i="46" s="1"/>
  <c r="B34" i="31"/>
  <c r="S16" i="48" s="1"/>
  <c r="G19" i="31"/>
  <c r="H19" i="32" s="1"/>
  <c r="G25" i="30"/>
  <c r="I25" i="30"/>
  <c r="I19" i="31"/>
  <c r="J19" i="32" s="1"/>
  <c r="F10" i="26"/>
  <c r="P20" i="35" s="1"/>
  <c r="N19" i="35"/>
  <c r="R19" i="35"/>
  <c r="Q19" i="35"/>
  <c r="D25" i="30"/>
  <c r="D19" i="31"/>
  <c r="E19" i="32" s="1"/>
  <c r="B49" i="23"/>
  <c r="B49" i="24" s="1"/>
  <c r="B49" i="25" s="1"/>
  <c r="B49" i="26" s="1"/>
  <c r="B43" i="24"/>
  <c r="B43" i="25" s="1"/>
  <c r="B43" i="26" s="1"/>
  <c r="E21" i="25"/>
  <c r="O5" i="37" s="1"/>
  <c r="E7" i="27"/>
  <c r="G44" i="59"/>
  <c r="O7" i="27"/>
  <c r="G53" i="59"/>
  <c r="T34" i="43"/>
  <c r="U34" i="43" s="1"/>
  <c r="F103" i="59"/>
  <c r="D28" i="24"/>
  <c r="N18" i="38" s="1"/>
  <c r="F7" i="27"/>
  <c r="G52" i="59"/>
  <c r="N21" i="27"/>
  <c r="G46" i="59"/>
  <c r="B36" i="29"/>
  <c r="AB2" i="48" s="1"/>
  <c r="D20" i="25"/>
  <c r="F4" i="37" s="1"/>
  <c r="P35" i="27"/>
  <c r="R35" i="27" s="1"/>
  <c r="P7" i="43"/>
  <c r="G69" i="59"/>
  <c r="T6" i="43"/>
  <c r="U6" i="43" s="1"/>
  <c r="F101" i="59"/>
  <c r="B35" i="25"/>
  <c r="O30" i="39" s="1"/>
  <c r="C29" i="25"/>
  <c r="O31" i="38" s="1"/>
  <c r="F10" i="31"/>
  <c r="S20" i="44" s="1"/>
  <c r="Y9" i="43"/>
  <c r="I32" i="59"/>
  <c r="I33" i="59" s="1"/>
  <c r="N7" i="27"/>
  <c r="G45" i="59"/>
  <c r="AE6" i="43"/>
  <c r="AG6" i="43" s="1"/>
  <c r="F104" i="59"/>
  <c r="B35" i="29"/>
  <c r="E9" i="32"/>
  <c r="T5" i="44" s="1"/>
  <c r="V5" i="44" s="1"/>
  <c r="E16" i="26"/>
  <c r="P19" i="36" s="1"/>
  <c r="R19" i="36" s="1"/>
  <c r="B35" i="31"/>
  <c r="S30" i="48" s="1"/>
  <c r="P21" i="27"/>
  <c r="R21" i="27" s="1"/>
  <c r="G62" i="59"/>
  <c r="B35" i="30"/>
  <c r="R30" i="48" s="1"/>
  <c r="G7" i="27"/>
  <c r="I7" i="27" s="1"/>
  <c r="G60" i="59"/>
  <c r="C24" i="29"/>
  <c r="AB3" i="46" s="1"/>
  <c r="C23" i="29"/>
  <c r="A15" i="30"/>
  <c r="A9" i="31"/>
  <c r="A9" i="32" s="1"/>
  <c r="A3" i="32"/>
  <c r="A101" i="59" s="1"/>
  <c r="A93" i="59"/>
  <c r="A2" i="32"/>
  <c r="A100" i="59" s="1"/>
  <c r="A92" i="59"/>
  <c r="L1" i="47"/>
  <c r="L1" i="51"/>
  <c r="L1" i="43"/>
  <c r="L1" i="50"/>
  <c r="L1" i="48"/>
  <c r="L1" i="49"/>
  <c r="L1" i="46"/>
  <c r="L1" i="45"/>
  <c r="L1" i="44"/>
  <c r="A33" i="23"/>
  <c r="A27" i="24"/>
  <c r="A27" i="25" s="1"/>
  <c r="A27" i="26" s="1"/>
  <c r="N2" i="39"/>
  <c r="N5" i="37"/>
  <c r="Q5" i="35"/>
  <c r="R5" i="35"/>
  <c r="C4" i="47"/>
  <c r="C4" i="38"/>
  <c r="D26" i="23"/>
  <c r="E26" i="22"/>
  <c r="V3" i="46"/>
  <c r="U3" i="46"/>
  <c r="G18" i="22"/>
  <c r="Y6" i="45"/>
  <c r="U6" i="36"/>
  <c r="Q3" i="38"/>
  <c r="R3" i="38"/>
  <c r="B39" i="28"/>
  <c r="P2" i="48"/>
  <c r="D22" i="26"/>
  <c r="P18" i="37" s="1"/>
  <c r="N17" i="37"/>
  <c r="AB4" i="44"/>
  <c r="E12" i="32"/>
  <c r="AE5" i="44" s="1"/>
  <c r="N4" i="48"/>
  <c r="L4" i="39"/>
  <c r="E33" i="22"/>
  <c r="G9" i="23"/>
  <c r="G9" i="25" s="1"/>
  <c r="O7" i="35" s="1"/>
  <c r="O6" i="44"/>
  <c r="M6" i="35"/>
  <c r="I8" i="22"/>
  <c r="C8" i="35"/>
  <c r="H8" i="23"/>
  <c r="H8" i="25" s="1"/>
  <c r="F8" i="35" s="1"/>
  <c r="B33" i="30"/>
  <c r="R2" i="48" s="1"/>
  <c r="Q9" i="22"/>
  <c r="R8" i="22"/>
  <c r="N23" i="43"/>
  <c r="L23" i="27"/>
  <c r="N35" i="44"/>
  <c r="L35" i="35"/>
  <c r="O3" i="47"/>
  <c r="M3" i="38"/>
  <c r="C27" i="28"/>
  <c r="C27" i="31" s="1"/>
  <c r="S3" i="47" s="1"/>
  <c r="C27" i="24"/>
  <c r="C27" i="25"/>
  <c r="O3" i="38" s="1"/>
  <c r="E24" i="23"/>
  <c r="Z4" i="46"/>
  <c r="V4" i="37"/>
  <c r="D24" i="25"/>
  <c r="X4" i="37" s="1"/>
  <c r="D24" i="24"/>
  <c r="H19" i="31"/>
  <c r="I19" i="32" s="1"/>
  <c r="H25" i="30"/>
  <c r="G14" i="23"/>
  <c r="G14" i="25" s="1"/>
  <c r="F7" i="36" s="1"/>
  <c r="D6" i="36"/>
  <c r="B38" i="28"/>
  <c r="G16" i="22"/>
  <c r="N20" i="45"/>
  <c r="L20" i="36"/>
  <c r="N16" i="39"/>
  <c r="C34" i="26"/>
  <c r="P17" i="39" s="1"/>
  <c r="B46" i="23"/>
  <c r="O16" i="49"/>
  <c r="M16" i="40"/>
  <c r="C40" i="23"/>
  <c r="B40" i="24"/>
  <c r="E14" i="28"/>
  <c r="E4" i="45"/>
  <c r="E22" i="23"/>
  <c r="E22" i="24" s="1"/>
  <c r="O18" i="46"/>
  <c r="M18" i="37"/>
  <c r="H9" i="22"/>
  <c r="N7" i="44"/>
  <c r="L7" i="35"/>
  <c r="C49" i="23"/>
  <c r="C49" i="24" s="1"/>
  <c r="C49" i="25" s="1"/>
  <c r="C49" i="26" s="1"/>
  <c r="C43" i="24"/>
  <c r="C43" i="25" s="1"/>
  <c r="C43" i="26" s="1"/>
  <c r="H14" i="22"/>
  <c r="C7" i="36"/>
  <c r="B42" i="23"/>
  <c r="B42" i="24" s="1"/>
  <c r="Z2" i="48"/>
  <c r="V2" i="39"/>
  <c r="C36" i="23"/>
  <c r="B36" i="30"/>
  <c r="B36" i="31"/>
  <c r="AD2" i="48" s="1"/>
  <c r="F18" i="23"/>
  <c r="Z5" i="45"/>
  <c r="V5" i="36"/>
  <c r="A14" i="30"/>
  <c r="A8" i="31"/>
  <c r="A8" i="32" s="1"/>
  <c r="F9" i="28"/>
  <c r="F9" i="29" s="1"/>
  <c r="P5" i="44"/>
  <c r="N16" i="51"/>
  <c r="L16" i="42"/>
  <c r="D27" i="23"/>
  <c r="B25" i="30"/>
  <c r="B19" i="31"/>
  <c r="C19" i="32" s="1"/>
  <c r="V4" i="44"/>
  <c r="U4" i="44"/>
  <c r="I15" i="22"/>
  <c r="N8" i="45"/>
  <c r="L8" i="36"/>
  <c r="A29" i="30"/>
  <c r="A23" i="31"/>
  <c r="A23" i="32" s="1"/>
  <c r="Q32" i="36"/>
  <c r="R32" i="36"/>
  <c r="Q33" i="35"/>
  <c r="R33" i="35"/>
  <c r="C42" i="22"/>
  <c r="D42" i="22" s="1"/>
  <c r="Q17" i="47"/>
  <c r="O33" i="45"/>
  <c r="M33" i="36"/>
  <c r="N31" i="48"/>
  <c r="L31" i="39"/>
  <c r="N33" i="46"/>
  <c r="L33" i="37"/>
  <c r="G24" i="22"/>
  <c r="Y6" i="46"/>
  <c r="U6" i="37"/>
  <c r="H3" i="37"/>
  <c r="I3" i="37"/>
  <c r="F4" i="45"/>
  <c r="E2" i="38"/>
  <c r="C26" i="26"/>
  <c r="G3" i="38" s="1"/>
  <c r="E32" i="22"/>
  <c r="C4" i="48"/>
  <c r="C4" i="39"/>
  <c r="E4" i="37"/>
  <c r="G8" i="28"/>
  <c r="F8" i="31"/>
  <c r="H6" i="44" s="1"/>
  <c r="D24" i="28"/>
  <c r="AA3" i="46"/>
  <c r="Q6" i="36"/>
  <c r="R6" i="36"/>
  <c r="Q4" i="45"/>
  <c r="E15" i="32"/>
  <c r="T5" i="45" s="1"/>
  <c r="N3" i="49"/>
  <c r="H6" i="35"/>
  <c r="I6" i="35"/>
  <c r="E11" i="29"/>
  <c r="Q33" i="44" s="1"/>
  <c r="P33" i="44"/>
  <c r="F11" i="26"/>
  <c r="P34" i="35" s="1"/>
  <c r="N33" i="35"/>
  <c r="M25" i="30"/>
  <c r="M19" i="31"/>
  <c r="C2" i="41"/>
  <c r="B50" i="22"/>
  <c r="D3" i="47"/>
  <c r="D3" i="38"/>
  <c r="C26" i="28"/>
  <c r="C26" i="31" s="1"/>
  <c r="H3" i="47" s="1"/>
  <c r="C26" i="25"/>
  <c r="F3" i="38" s="1"/>
  <c r="E4" i="36"/>
  <c r="E14" i="26"/>
  <c r="G5" i="36" s="1"/>
  <c r="N20" i="35"/>
  <c r="G10" i="26"/>
  <c r="P21" i="35" s="1"/>
  <c r="F12" i="24"/>
  <c r="O22" i="43"/>
  <c r="D17" i="29"/>
  <c r="Q32" i="45" s="1"/>
  <c r="P32" i="45"/>
  <c r="C29" i="28"/>
  <c r="C29" i="30" s="1"/>
  <c r="R31" i="47" s="1"/>
  <c r="O31" i="47"/>
  <c r="M31" i="38"/>
  <c r="O34" i="44"/>
  <c r="M34" i="35"/>
  <c r="B39" i="23"/>
  <c r="O2" i="48"/>
  <c r="M2" i="39"/>
  <c r="C33" i="23"/>
  <c r="C33" i="24" s="1"/>
  <c r="E34" i="22"/>
  <c r="N18" i="48"/>
  <c r="L18" i="39"/>
  <c r="C26" i="24"/>
  <c r="K19" i="31"/>
  <c r="L19" i="32" s="1"/>
  <c r="K25" i="30"/>
  <c r="E16" i="28"/>
  <c r="P18" i="45"/>
  <c r="D16" i="29"/>
  <c r="D16" i="30"/>
  <c r="R18" i="45" s="1"/>
  <c r="Q2" i="47"/>
  <c r="C27" i="32"/>
  <c r="T3" i="47" s="1"/>
  <c r="E18" i="25"/>
  <c r="X5" i="36" s="1"/>
  <c r="D14" i="31"/>
  <c r="H4" i="45" s="1"/>
  <c r="B36" i="25"/>
  <c r="X2" i="39" s="1"/>
  <c r="B33" i="25"/>
  <c r="E36" i="22"/>
  <c r="Y4" i="48"/>
  <c r="U4" i="39"/>
  <c r="E16" i="24"/>
  <c r="A32" i="23"/>
  <c r="A26" i="24"/>
  <c r="A26" i="25" s="1"/>
  <c r="A26" i="26" s="1"/>
  <c r="C26" i="32"/>
  <c r="D34" i="23"/>
  <c r="D34" i="25" s="1"/>
  <c r="O18" i="39" s="1"/>
  <c r="O17" i="48"/>
  <c r="M17" i="39"/>
  <c r="C34" i="28"/>
  <c r="F9" i="25"/>
  <c r="O6" i="35" s="1"/>
  <c r="E9" i="31"/>
  <c r="S5" i="44" s="1"/>
  <c r="R18" i="36"/>
  <c r="Q18" i="36"/>
  <c r="N3" i="48"/>
  <c r="L3" i="39"/>
  <c r="F14" i="24"/>
  <c r="D4" i="46"/>
  <c r="D4" i="37"/>
  <c r="F20" i="22"/>
  <c r="C5" i="46"/>
  <c r="C5" i="37"/>
  <c r="E20" i="23"/>
  <c r="B36" i="24"/>
  <c r="U19" i="44"/>
  <c r="V19" i="44"/>
  <c r="E18" i="28"/>
  <c r="E18" i="30" s="1"/>
  <c r="AC5" i="45" s="1"/>
  <c r="AA4" i="45"/>
  <c r="D18" i="30"/>
  <c r="AC4" i="45" s="1"/>
  <c r="D18" i="29"/>
  <c r="D18" i="31"/>
  <c r="AD4" i="45" s="1"/>
  <c r="C21" i="30"/>
  <c r="R3" i="46" s="1"/>
  <c r="I10" i="22"/>
  <c r="N22" i="44"/>
  <c r="L22" i="35"/>
  <c r="A42" i="23"/>
  <c r="A36" i="24"/>
  <c r="A36" i="25" s="1"/>
  <c r="A36" i="26" s="1"/>
  <c r="AA4" i="36"/>
  <c r="Z4" i="36"/>
  <c r="F5" i="44"/>
  <c r="F8" i="32"/>
  <c r="I6" i="44" s="1"/>
  <c r="C24" i="31"/>
  <c r="AD3" i="46" s="1"/>
  <c r="E25" i="30"/>
  <c r="E19" i="31"/>
  <c r="F19" i="32" s="1"/>
  <c r="D28" i="28"/>
  <c r="D28" i="31" s="1"/>
  <c r="S18" i="47" s="1"/>
  <c r="P17" i="47"/>
  <c r="D21" i="25"/>
  <c r="O4" i="37" s="1"/>
  <c r="O4" i="46"/>
  <c r="M4" i="37"/>
  <c r="D21" i="28"/>
  <c r="D21" i="30" s="1"/>
  <c r="R4" i="46" s="1"/>
  <c r="D21" i="24"/>
  <c r="D7" i="35"/>
  <c r="G8" i="25"/>
  <c r="F7" i="35" s="1"/>
  <c r="G8" i="24"/>
  <c r="B41" i="28"/>
  <c r="P30" i="48"/>
  <c r="L49" i="23"/>
  <c r="L49" i="24" s="1"/>
  <c r="L49" i="25" s="1"/>
  <c r="L49" i="26" s="1"/>
  <c r="L43" i="24"/>
  <c r="L43" i="25" s="1"/>
  <c r="L43" i="26" s="1"/>
  <c r="A41" i="23"/>
  <c r="A35" i="24"/>
  <c r="A35" i="25" s="1"/>
  <c r="A35" i="26" s="1"/>
  <c r="C19" i="31"/>
  <c r="D19" i="32" s="1"/>
  <c r="C25" i="30"/>
  <c r="C30" i="26"/>
  <c r="Y3" i="38" s="1"/>
  <c r="G15" i="24"/>
  <c r="C28" i="30"/>
  <c r="R17" i="47" s="1"/>
  <c r="G10" i="28"/>
  <c r="G10" i="29" s="1"/>
  <c r="P20" i="44"/>
  <c r="D49" i="23"/>
  <c r="D49" i="24" s="1"/>
  <c r="D49" i="25" s="1"/>
  <c r="D49" i="26" s="1"/>
  <c r="D43" i="24"/>
  <c r="D43" i="25" s="1"/>
  <c r="D43" i="26" s="1"/>
  <c r="B33" i="29"/>
  <c r="C21" i="29"/>
  <c r="C38" i="22"/>
  <c r="C40" i="22"/>
  <c r="D16" i="31"/>
  <c r="S18" i="45" s="1"/>
  <c r="H3" i="25"/>
  <c r="O8" i="43"/>
  <c r="M8" i="27"/>
  <c r="N34" i="35"/>
  <c r="N32" i="47"/>
  <c r="L32" i="38"/>
  <c r="E6" i="35"/>
  <c r="G8" i="26"/>
  <c r="G7" i="35" s="1"/>
  <c r="N5" i="35"/>
  <c r="F9" i="26"/>
  <c r="P6" i="35" s="1"/>
  <c r="B42" i="28"/>
  <c r="AA2" i="48"/>
  <c r="N6" i="36"/>
  <c r="G15" i="26"/>
  <c r="P7" i="36" s="1"/>
  <c r="Q9" i="25"/>
  <c r="R8" i="25"/>
  <c r="G12" i="23"/>
  <c r="G12" i="24" s="1"/>
  <c r="Z6" i="44"/>
  <c r="V6" i="35"/>
  <c r="Y7" i="44"/>
  <c r="H12" i="22"/>
  <c r="U7" i="35"/>
  <c r="U17" i="46"/>
  <c r="V17" i="46"/>
  <c r="K3" i="46"/>
  <c r="J3" i="46"/>
  <c r="N18" i="37"/>
  <c r="F25" i="30"/>
  <c r="F19" i="31"/>
  <c r="G19" i="32" s="1"/>
  <c r="Z3" i="47"/>
  <c r="V3" i="38"/>
  <c r="C30" i="28"/>
  <c r="C30" i="25"/>
  <c r="X3" i="38" s="1"/>
  <c r="AG4" i="44"/>
  <c r="AF4" i="44"/>
  <c r="F49" i="23"/>
  <c r="F49" i="24" s="1"/>
  <c r="F49" i="25" s="1"/>
  <c r="F49" i="26" s="1"/>
  <c r="F43" i="24"/>
  <c r="F43" i="25" s="1"/>
  <c r="F43" i="26" s="1"/>
  <c r="H15" i="23"/>
  <c r="H15" i="24" s="1"/>
  <c r="O7" i="45"/>
  <c r="M7" i="36"/>
  <c r="D21" i="26"/>
  <c r="P4" i="37" s="1"/>
  <c r="N3" i="37"/>
  <c r="H5" i="25"/>
  <c r="M36" i="27"/>
  <c r="N34" i="45"/>
  <c r="L34" i="36"/>
  <c r="D23" i="28"/>
  <c r="P32" i="46" s="1"/>
  <c r="O32" i="46"/>
  <c r="M32" i="37"/>
  <c r="A40" i="23"/>
  <c r="A34" i="24"/>
  <c r="A34" i="25" s="1"/>
  <c r="A34" i="26" s="1"/>
  <c r="F16" i="23"/>
  <c r="O19" i="45"/>
  <c r="M19" i="36"/>
  <c r="W5" i="36"/>
  <c r="H10" i="23"/>
  <c r="O21" i="44"/>
  <c r="M21" i="35"/>
  <c r="G10" i="24"/>
  <c r="G10" i="25"/>
  <c r="O21" i="35" s="1"/>
  <c r="N37" i="43"/>
  <c r="L37" i="27"/>
  <c r="C9" i="27"/>
  <c r="N9" i="43"/>
  <c r="L9" i="27"/>
  <c r="E17" i="25"/>
  <c r="O33" i="36" s="1"/>
  <c r="N30" i="49"/>
  <c r="L30" i="40"/>
  <c r="F21" i="23"/>
  <c r="F21" i="25" s="1"/>
  <c r="O6" i="37" s="1"/>
  <c r="O5" i="46"/>
  <c r="M5" i="37"/>
  <c r="G21" i="22"/>
  <c r="N6" i="46"/>
  <c r="L6" i="37"/>
  <c r="E9" i="29"/>
  <c r="Q3" i="37"/>
  <c r="R3" i="37"/>
  <c r="E5" i="36"/>
  <c r="F14" i="26"/>
  <c r="G6" i="36" s="1"/>
  <c r="R17" i="38"/>
  <c r="Q17" i="38"/>
  <c r="D14" i="30"/>
  <c r="G4" i="45" s="1"/>
  <c r="B40" i="25"/>
  <c r="O16" i="40" s="1"/>
  <c r="E16" i="25"/>
  <c r="O19" i="36" s="1"/>
  <c r="B38" i="23"/>
  <c r="D2" i="39"/>
  <c r="C32" i="23"/>
  <c r="B32" i="30"/>
  <c r="G2" i="48" s="1"/>
  <c r="B32" i="24"/>
  <c r="B32" i="31"/>
  <c r="H2" i="48" s="1"/>
  <c r="B32" i="29"/>
  <c r="Q16" i="48"/>
  <c r="M49" i="23"/>
  <c r="M49" i="24" s="1"/>
  <c r="M49" i="25" s="1"/>
  <c r="M49" i="26" s="1"/>
  <c r="M43" i="24"/>
  <c r="M43" i="25" s="1"/>
  <c r="M43" i="26" s="1"/>
  <c r="D22" i="25"/>
  <c r="O18" i="37" s="1"/>
  <c r="F22" i="22"/>
  <c r="N19" i="46"/>
  <c r="L19" i="37"/>
  <c r="F12" i="28"/>
  <c r="AA6" i="44" s="1"/>
  <c r="AA5" i="44"/>
  <c r="E12" i="29"/>
  <c r="E12" i="30"/>
  <c r="AC5" i="44" s="1"/>
  <c r="F9" i="24"/>
  <c r="G27" i="22"/>
  <c r="N6" i="47"/>
  <c r="L6" i="38"/>
  <c r="C30" i="24"/>
  <c r="E30" i="22"/>
  <c r="Y4" i="47"/>
  <c r="U4" i="38"/>
  <c r="D30" i="23"/>
  <c r="D30" i="24" s="1"/>
  <c r="K5" i="44"/>
  <c r="J5" i="44"/>
  <c r="F14" i="25"/>
  <c r="F6" i="36" s="1"/>
  <c r="B41" i="23"/>
  <c r="O30" i="48"/>
  <c r="M30" i="39"/>
  <c r="C35" i="23"/>
  <c r="C35" i="24" s="1"/>
  <c r="N31" i="39" s="1"/>
  <c r="B40" i="28"/>
  <c r="P16" i="48"/>
  <c r="D20" i="28"/>
  <c r="E3" i="46"/>
  <c r="C20" i="29"/>
  <c r="C20" i="30"/>
  <c r="G3" i="46" s="1"/>
  <c r="C20" i="31"/>
  <c r="H3" i="46" s="1"/>
  <c r="Y2" i="49"/>
  <c r="U2" i="40"/>
  <c r="B48" i="22"/>
  <c r="D28" i="26"/>
  <c r="P18" i="38" s="1"/>
  <c r="N17" i="38"/>
  <c r="L25" i="30"/>
  <c r="L19" i="31"/>
  <c r="M19" i="32" s="1"/>
  <c r="G49" i="23"/>
  <c r="G49" i="24" s="1"/>
  <c r="G49" i="25" s="1"/>
  <c r="G49" i="26" s="1"/>
  <c r="G43" i="24"/>
  <c r="G43" i="25" s="1"/>
  <c r="G43" i="26" s="1"/>
  <c r="D24" i="26"/>
  <c r="Y4" i="37" s="1"/>
  <c r="W3" i="37"/>
  <c r="AB3" i="45"/>
  <c r="D18" i="32"/>
  <c r="AE4" i="45" s="1"/>
  <c r="AF3" i="46"/>
  <c r="AG3" i="46"/>
  <c r="D22" i="28"/>
  <c r="P17" i="46"/>
  <c r="C22" i="29"/>
  <c r="C22" i="30"/>
  <c r="R17" i="46" s="1"/>
  <c r="C22" i="31"/>
  <c r="S17" i="46" s="1"/>
  <c r="J19" i="31"/>
  <c r="K19" i="32" s="1"/>
  <c r="J25" i="30"/>
  <c r="G15" i="25"/>
  <c r="O7" i="36" s="1"/>
  <c r="E49" i="23"/>
  <c r="E49" i="24" s="1"/>
  <c r="E49" i="25" s="1"/>
  <c r="E49" i="26" s="1"/>
  <c r="E43" i="24"/>
  <c r="E43" i="25" s="1"/>
  <c r="E43" i="26" s="1"/>
  <c r="Q19" i="44"/>
  <c r="F10" i="32"/>
  <c r="T20" i="44" s="1"/>
  <c r="B33" i="31"/>
  <c r="S2" i="48" s="1"/>
  <c r="N2" i="49"/>
  <c r="L2" i="40"/>
  <c r="B45" i="22"/>
  <c r="F15" i="28"/>
  <c r="P5" i="45"/>
  <c r="E15" i="31"/>
  <c r="S5" i="45" s="1"/>
  <c r="E15" i="30"/>
  <c r="R5" i="45" s="1"/>
  <c r="E15" i="29"/>
  <c r="I49" i="23"/>
  <c r="I49" i="24" s="1"/>
  <c r="I49" i="25" s="1"/>
  <c r="I49" i="26" s="1"/>
  <c r="I43" i="24"/>
  <c r="I43" i="25" s="1"/>
  <c r="I43" i="26" s="1"/>
  <c r="O18" i="47"/>
  <c r="M18" i="38"/>
  <c r="Q17" i="45"/>
  <c r="D16" i="32"/>
  <c r="T18" i="45" s="1"/>
  <c r="F8" i="29"/>
  <c r="U9" i="27"/>
  <c r="F17" i="23"/>
  <c r="F17" i="24" s="1"/>
  <c r="N34" i="36" s="1"/>
  <c r="E17" i="26"/>
  <c r="P33" i="36" s="1"/>
  <c r="D23" i="24"/>
  <c r="N32" i="37" s="1"/>
  <c r="E11" i="30"/>
  <c r="R33" i="44" s="1"/>
  <c r="D23" i="25"/>
  <c r="O32" i="37" s="1"/>
  <c r="H5" i="24"/>
  <c r="E11" i="32"/>
  <c r="T33" i="44" s="1"/>
  <c r="E17" i="24"/>
  <c r="F23" i="22"/>
  <c r="E23" i="23"/>
  <c r="E23" i="24" s="1"/>
  <c r="N33" i="37" s="1"/>
  <c r="F11" i="28"/>
  <c r="P34" i="44" s="1"/>
  <c r="E11" i="31"/>
  <c r="C41" i="22"/>
  <c r="B47" i="22"/>
  <c r="E17" i="28"/>
  <c r="D17" i="30"/>
  <c r="D17" i="31"/>
  <c r="S32" i="45" s="1"/>
  <c r="D29" i="23"/>
  <c r="E29" i="22"/>
  <c r="H11" i="22"/>
  <c r="D35" i="22"/>
  <c r="G17" i="22"/>
  <c r="G11" i="23"/>
  <c r="S7" i="26"/>
  <c r="T22" i="23"/>
  <c r="U22" i="22"/>
  <c r="I4" i="23"/>
  <c r="I38" i="59" s="1"/>
  <c r="H4" i="25"/>
  <c r="H54" i="59" s="1"/>
  <c r="H3" i="28"/>
  <c r="H69" i="59" s="1"/>
  <c r="H3" i="24"/>
  <c r="H45" i="59" s="1"/>
  <c r="G3" i="31"/>
  <c r="H2" i="26"/>
  <c r="G3" i="30"/>
  <c r="G2" i="29"/>
  <c r="G2" i="31"/>
  <c r="H7" i="43" s="1"/>
  <c r="G3" i="29"/>
  <c r="I6" i="23"/>
  <c r="I40" i="59" s="1"/>
  <c r="J3" i="22"/>
  <c r="J29" i="59" s="1"/>
  <c r="H3" i="26"/>
  <c r="J2" i="22"/>
  <c r="J28" i="59" s="1"/>
  <c r="J6" i="22"/>
  <c r="J5" i="22"/>
  <c r="J31" i="59" s="1"/>
  <c r="J4" i="22"/>
  <c r="J30" i="59" s="1"/>
  <c r="I3" i="23"/>
  <c r="I37" i="59" s="1"/>
  <c r="I5" i="23"/>
  <c r="I39" i="59" s="1"/>
  <c r="K6" i="43" l="1"/>
  <c r="J6" i="43"/>
  <c r="J6" i="44"/>
  <c r="K6" i="44"/>
  <c r="J5" i="43"/>
  <c r="E105" i="59"/>
  <c r="F84" i="59"/>
  <c r="A43" i="30"/>
  <c r="A37" i="31"/>
  <c r="A37" i="32" s="1"/>
  <c r="Q20" i="43"/>
  <c r="H6" i="28"/>
  <c r="H72" i="59" s="1"/>
  <c r="F100" i="59"/>
  <c r="H4" i="37"/>
  <c r="B46" i="25"/>
  <c r="O16" i="41" s="1"/>
  <c r="Q31" i="38"/>
  <c r="G11" i="26"/>
  <c r="P35" i="35" s="1"/>
  <c r="G54" i="59"/>
  <c r="H4" i="26"/>
  <c r="G4" i="29"/>
  <c r="U4" i="45"/>
  <c r="H6" i="25"/>
  <c r="H56" i="59" s="1"/>
  <c r="Z8" i="43"/>
  <c r="AA6" i="35"/>
  <c r="V8" i="27"/>
  <c r="H6" i="24"/>
  <c r="W8" i="27" s="1"/>
  <c r="O36" i="43"/>
  <c r="H4" i="24"/>
  <c r="G6" i="31"/>
  <c r="G96" i="59" s="1"/>
  <c r="H4" i="28"/>
  <c r="H70" i="59" s="1"/>
  <c r="F95" i="59"/>
  <c r="Q20" i="27"/>
  <c r="G2" i="30"/>
  <c r="G6" i="32"/>
  <c r="AE7" i="43" s="1"/>
  <c r="AG7" i="43" s="1"/>
  <c r="H41" i="59"/>
  <c r="G4" i="32"/>
  <c r="M22" i="27"/>
  <c r="I2" i="23"/>
  <c r="I36" i="59" s="1"/>
  <c r="D8" i="27"/>
  <c r="H2" i="25"/>
  <c r="F8" i="27" s="1"/>
  <c r="E28" i="23"/>
  <c r="E28" i="24" s="1"/>
  <c r="L19" i="38"/>
  <c r="G55" i="59"/>
  <c r="H2" i="24"/>
  <c r="N19" i="47"/>
  <c r="F87" i="59"/>
  <c r="H2" i="28"/>
  <c r="H68" i="59" s="1"/>
  <c r="V17" i="47"/>
  <c r="P35" i="43"/>
  <c r="G2" i="32"/>
  <c r="I7" i="43" s="1"/>
  <c r="F76" i="59"/>
  <c r="G70" i="59"/>
  <c r="P21" i="43"/>
  <c r="G5" i="32"/>
  <c r="T35" i="43" s="1"/>
  <c r="V35" i="43" s="1"/>
  <c r="G4" i="31"/>
  <c r="S21" i="43" s="1"/>
  <c r="AF3" i="47"/>
  <c r="F79" i="59"/>
  <c r="F86" i="59"/>
  <c r="Q34" i="43"/>
  <c r="R20" i="43"/>
  <c r="G47" i="59"/>
  <c r="H5" i="26"/>
  <c r="H63" i="59" s="1"/>
  <c r="B41" i="31"/>
  <c r="S30" i="49" s="1"/>
  <c r="F96" i="59"/>
  <c r="F92" i="59"/>
  <c r="F94" i="59"/>
  <c r="H6" i="26"/>
  <c r="W7" i="27"/>
  <c r="G48" i="59"/>
  <c r="G5" i="30"/>
  <c r="R35" i="43" s="1"/>
  <c r="F93" i="59"/>
  <c r="F88" i="59"/>
  <c r="AC6" i="43"/>
  <c r="G5" i="29"/>
  <c r="Q35" i="43" s="1"/>
  <c r="G5" i="31"/>
  <c r="S35" i="43" s="1"/>
  <c r="H5" i="28"/>
  <c r="P36" i="43" s="1"/>
  <c r="G72" i="59"/>
  <c r="G73" i="59" s="1"/>
  <c r="G6" i="29"/>
  <c r="G6" i="30"/>
  <c r="F102" i="59"/>
  <c r="Q6" i="43"/>
  <c r="C34" i="32"/>
  <c r="T17" i="48" s="1"/>
  <c r="U17" i="48" s="1"/>
  <c r="D23" i="32"/>
  <c r="T32" i="46" s="1"/>
  <c r="B39" i="29"/>
  <c r="R6" i="43"/>
  <c r="Q35" i="27"/>
  <c r="V34" i="43"/>
  <c r="U20" i="43"/>
  <c r="V20" i="43"/>
  <c r="D29" i="26"/>
  <c r="P32" i="38" s="1"/>
  <c r="Q32" i="38" s="1"/>
  <c r="D39" i="22"/>
  <c r="E39" i="22" s="1"/>
  <c r="G3" i="32"/>
  <c r="T7" i="43" s="1"/>
  <c r="V7" i="43" s="1"/>
  <c r="Q31" i="46"/>
  <c r="J4" i="45"/>
  <c r="I5" i="26"/>
  <c r="P37" i="27" s="1"/>
  <c r="R37" i="27" s="1"/>
  <c r="A24" i="30"/>
  <c r="A18" i="31"/>
  <c r="A18" i="32" s="1"/>
  <c r="D34" i="26"/>
  <c r="P18" i="39" s="1"/>
  <c r="R18" i="39" s="1"/>
  <c r="U31" i="47"/>
  <c r="V6" i="43"/>
  <c r="B39" i="30"/>
  <c r="R2" i="49" s="1"/>
  <c r="B39" i="25"/>
  <c r="O2" i="40" s="1"/>
  <c r="AA5" i="36"/>
  <c r="B39" i="31"/>
  <c r="S2" i="49" s="1"/>
  <c r="Q21" i="27"/>
  <c r="B39" i="24"/>
  <c r="AA6" i="27"/>
  <c r="Z6" i="27"/>
  <c r="E22" i="25"/>
  <c r="O19" i="37" s="1"/>
  <c r="U32" i="45"/>
  <c r="U5" i="44"/>
  <c r="G104" i="59"/>
  <c r="B41" i="29"/>
  <c r="Q30" i="49" s="1"/>
  <c r="D24" i="32"/>
  <c r="AE4" i="46" s="1"/>
  <c r="AG4" i="46" s="1"/>
  <c r="F21" i="26"/>
  <c r="P6" i="37" s="1"/>
  <c r="Q6" i="37" s="1"/>
  <c r="C35" i="25"/>
  <c r="O31" i="39" s="1"/>
  <c r="G14" i="24"/>
  <c r="E7" i="36" s="1"/>
  <c r="AF7" i="43"/>
  <c r="D23" i="31"/>
  <c r="S32" i="46" s="1"/>
  <c r="E20" i="26"/>
  <c r="G5" i="37" s="1"/>
  <c r="H5" i="37" s="1"/>
  <c r="F17" i="25"/>
  <c r="O34" i="36" s="1"/>
  <c r="D23" i="30"/>
  <c r="R32" i="46" s="1"/>
  <c r="R32" i="37"/>
  <c r="G9" i="24"/>
  <c r="N7" i="35" s="1"/>
  <c r="D23" i="29"/>
  <c r="Q32" i="46" s="1"/>
  <c r="I4" i="24"/>
  <c r="N23" i="27" s="1"/>
  <c r="I4" i="25"/>
  <c r="B42" i="31"/>
  <c r="AD2" i="49" s="1"/>
  <c r="H7" i="27"/>
  <c r="D21" i="29"/>
  <c r="Q4" i="46" s="1"/>
  <c r="C35" i="26"/>
  <c r="P31" i="39" s="1"/>
  <c r="R31" i="39" s="1"/>
  <c r="D21" i="31"/>
  <c r="S4" i="46" s="1"/>
  <c r="F18" i="26"/>
  <c r="Y6" i="36" s="1"/>
  <c r="AA6" i="36" s="1"/>
  <c r="E28" i="26"/>
  <c r="P19" i="38" s="1"/>
  <c r="Q19" i="38" s="1"/>
  <c r="Q19" i="36"/>
  <c r="AF6" i="43"/>
  <c r="H8" i="24"/>
  <c r="E8" i="35" s="1"/>
  <c r="C35" i="32"/>
  <c r="T31" i="48" s="1"/>
  <c r="U31" i="48" s="1"/>
  <c r="A22" i="30"/>
  <c r="A16" i="31"/>
  <c r="A16" i="32" s="1"/>
  <c r="B42" i="30"/>
  <c r="AC2" i="49" s="1"/>
  <c r="I31" i="30"/>
  <c r="I25" i="31"/>
  <c r="J25" i="32" s="1"/>
  <c r="B42" i="25"/>
  <c r="X2" i="40" s="1"/>
  <c r="D31" i="30"/>
  <c r="D25" i="31"/>
  <c r="E25" i="32" s="1"/>
  <c r="G25" i="31"/>
  <c r="H25" i="32" s="1"/>
  <c r="G31" i="30"/>
  <c r="I4" i="28"/>
  <c r="I70" i="59" s="1"/>
  <c r="B42" i="29"/>
  <c r="AB2" i="49" s="1"/>
  <c r="Q30" i="48"/>
  <c r="I41" i="59"/>
  <c r="G10" i="32"/>
  <c r="T21" i="44" s="1"/>
  <c r="V21" i="44" s="1"/>
  <c r="H4" i="30"/>
  <c r="H4" i="31"/>
  <c r="S22" i="43" s="1"/>
  <c r="Q20" i="35"/>
  <c r="R20" i="35"/>
  <c r="Q21" i="43"/>
  <c r="G78" i="59"/>
  <c r="P22" i="27"/>
  <c r="Q22" i="27" s="1"/>
  <c r="H62" i="59"/>
  <c r="T21" i="43"/>
  <c r="U21" i="43" s="1"/>
  <c r="G102" i="59"/>
  <c r="G100" i="59"/>
  <c r="Q7" i="43"/>
  <c r="G77" i="59"/>
  <c r="X8" i="27"/>
  <c r="G12" i="25"/>
  <c r="X7" i="35" s="1"/>
  <c r="E28" i="25"/>
  <c r="O19" i="38" s="1"/>
  <c r="G65" i="59"/>
  <c r="R21" i="43"/>
  <c r="G86" i="59"/>
  <c r="Y10" i="43"/>
  <c r="J32" i="59"/>
  <c r="J33" i="59" s="1"/>
  <c r="I46" i="59"/>
  <c r="S7" i="43"/>
  <c r="G93" i="59"/>
  <c r="P8" i="27"/>
  <c r="R8" i="27" s="1"/>
  <c r="H61" i="59"/>
  <c r="O36" i="27"/>
  <c r="H55" i="59"/>
  <c r="E8" i="27"/>
  <c r="H44" i="59"/>
  <c r="N22" i="27"/>
  <c r="H46" i="59"/>
  <c r="G92" i="59"/>
  <c r="F21" i="24"/>
  <c r="N6" i="37" s="1"/>
  <c r="O8" i="27"/>
  <c r="H53" i="59"/>
  <c r="R7" i="43"/>
  <c r="G85" i="59"/>
  <c r="E23" i="28"/>
  <c r="P33" i="46" s="1"/>
  <c r="G76" i="59"/>
  <c r="G8" i="27"/>
  <c r="H8" i="27" s="1"/>
  <c r="H60" i="59"/>
  <c r="N36" i="27"/>
  <c r="H47" i="59"/>
  <c r="A21" i="30"/>
  <c r="A15" i="31"/>
  <c r="A15" i="32" s="1"/>
  <c r="A39" i="23"/>
  <c r="A33" i="24"/>
  <c r="A33" i="25" s="1"/>
  <c r="A33" i="26" s="1"/>
  <c r="W7" i="35"/>
  <c r="N8" i="36"/>
  <c r="N10" i="43"/>
  <c r="L10" i="27"/>
  <c r="H3" i="31"/>
  <c r="P8" i="43"/>
  <c r="G11" i="25"/>
  <c r="O35" i="35" s="1"/>
  <c r="O35" i="44"/>
  <c r="M35" i="35"/>
  <c r="E17" i="32"/>
  <c r="T33" i="45" s="1"/>
  <c r="R32" i="45"/>
  <c r="N34" i="46"/>
  <c r="L34" i="37"/>
  <c r="U33" i="44"/>
  <c r="V33" i="44"/>
  <c r="N2" i="50"/>
  <c r="L2" i="41"/>
  <c r="B51" i="22"/>
  <c r="L25" i="31"/>
  <c r="M25" i="32" s="1"/>
  <c r="L31" i="30"/>
  <c r="B46" i="28"/>
  <c r="B46" i="29" s="1"/>
  <c r="P16" i="49"/>
  <c r="B40" i="31"/>
  <c r="S16" i="49" s="1"/>
  <c r="B40" i="30"/>
  <c r="R16" i="49" s="1"/>
  <c r="B47" i="23"/>
  <c r="B47" i="25" s="1"/>
  <c r="O30" i="41" s="1"/>
  <c r="O30" i="49"/>
  <c r="M30" i="40"/>
  <c r="C41" i="23"/>
  <c r="C41" i="25" s="1"/>
  <c r="O31" i="40" s="1"/>
  <c r="W4" i="38"/>
  <c r="D30" i="26"/>
  <c r="Y4" i="38" s="1"/>
  <c r="W3" i="38"/>
  <c r="N19" i="37"/>
  <c r="B44" i="23"/>
  <c r="D2" i="40"/>
  <c r="C38" i="23"/>
  <c r="C38" i="25" s="1"/>
  <c r="F3" i="40" s="1"/>
  <c r="B38" i="29"/>
  <c r="B38" i="31"/>
  <c r="H2" i="49" s="1"/>
  <c r="B38" i="24"/>
  <c r="B38" i="30"/>
  <c r="G2" i="49" s="1"/>
  <c r="B38" i="25"/>
  <c r="F2" i="40" s="1"/>
  <c r="H7" i="35"/>
  <c r="I7" i="35"/>
  <c r="AB4" i="45"/>
  <c r="E18" i="32"/>
  <c r="AE5" i="45" s="1"/>
  <c r="E6" i="36"/>
  <c r="G14" i="26"/>
  <c r="G7" i="36" s="1"/>
  <c r="I3" i="51"/>
  <c r="I3" i="50"/>
  <c r="I3" i="49"/>
  <c r="I3" i="47"/>
  <c r="I3" i="48"/>
  <c r="R21" i="35"/>
  <c r="Q21" i="35"/>
  <c r="C2" i="42"/>
  <c r="V5" i="45"/>
  <c r="U5" i="45"/>
  <c r="H15" i="25"/>
  <c r="O8" i="36" s="1"/>
  <c r="I2" i="25"/>
  <c r="D9" i="27"/>
  <c r="I4" i="26"/>
  <c r="O22" i="27"/>
  <c r="N32" i="48"/>
  <c r="L32" i="39"/>
  <c r="D29" i="28"/>
  <c r="P32" i="47" s="1"/>
  <c r="O32" i="47"/>
  <c r="M32" i="38"/>
  <c r="F17" i="28"/>
  <c r="F17" i="31" s="1"/>
  <c r="S34" i="45" s="1"/>
  <c r="P33" i="45"/>
  <c r="N30" i="50"/>
  <c r="L30" i="41"/>
  <c r="F17" i="26"/>
  <c r="P34" i="36" s="1"/>
  <c r="N33" i="36"/>
  <c r="R33" i="36"/>
  <c r="Q33" i="36"/>
  <c r="V18" i="45"/>
  <c r="U18" i="45"/>
  <c r="Y4" i="49"/>
  <c r="U4" i="40"/>
  <c r="E42" i="22"/>
  <c r="Q5" i="45"/>
  <c r="F15" i="32"/>
  <c r="T6" i="45" s="1"/>
  <c r="G15" i="28"/>
  <c r="P6" i="45"/>
  <c r="F15" i="31"/>
  <c r="S6" i="45" s="1"/>
  <c r="F15" i="30"/>
  <c r="R6" i="45" s="1"/>
  <c r="F15" i="29"/>
  <c r="N2" i="40"/>
  <c r="Q17" i="46"/>
  <c r="D22" i="32"/>
  <c r="T18" i="46" s="1"/>
  <c r="AA4" i="37"/>
  <c r="Z4" i="37"/>
  <c r="Q21" i="44"/>
  <c r="Y2" i="50"/>
  <c r="U2" i="41"/>
  <c r="B54" i="22"/>
  <c r="F3" i="46"/>
  <c r="D20" i="32"/>
  <c r="I4" i="46" s="1"/>
  <c r="O31" i="48"/>
  <c r="M31" i="39"/>
  <c r="C35" i="28"/>
  <c r="D35" i="23"/>
  <c r="D35" i="25" s="1"/>
  <c r="O32" i="39" s="1"/>
  <c r="H27" i="22"/>
  <c r="N7" i="47"/>
  <c r="L7" i="38"/>
  <c r="C32" i="32"/>
  <c r="D3" i="48"/>
  <c r="D3" i="39"/>
  <c r="C32" i="28"/>
  <c r="E3" i="48" s="1"/>
  <c r="D32" i="23"/>
  <c r="C32" i="25"/>
  <c r="F3" i="39" s="1"/>
  <c r="C32" i="24"/>
  <c r="F12" i="30"/>
  <c r="AC6" i="44" s="1"/>
  <c r="R4" i="37"/>
  <c r="Q4" i="37"/>
  <c r="R9" i="25"/>
  <c r="Q7" i="36"/>
  <c r="R7" i="36"/>
  <c r="B48" i="28"/>
  <c r="AA2" i="49"/>
  <c r="R35" i="35"/>
  <c r="Q35" i="35"/>
  <c r="Q3" i="46"/>
  <c r="D21" i="32"/>
  <c r="T4" i="46" s="1"/>
  <c r="Z3" i="38"/>
  <c r="AA3" i="38"/>
  <c r="C25" i="31"/>
  <c r="D25" i="32" s="1"/>
  <c r="C31" i="30"/>
  <c r="A47" i="23"/>
  <c r="A41" i="24"/>
  <c r="A41" i="25" s="1"/>
  <c r="A41" i="26" s="1"/>
  <c r="J10" i="22"/>
  <c r="N23" i="44"/>
  <c r="L23" i="35"/>
  <c r="W2" i="39"/>
  <c r="C36" i="26"/>
  <c r="Y3" i="39" s="1"/>
  <c r="O18" i="48"/>
  <c r="M18" i="39"/>
  <c r="E34" i="23"/>
  <c r="E34" i="24" s="1"/>
  <c r="N19" i="36"/>
  <c r="F16" i="26"/>
  <c r="P20" i="36" s="1"/>
  <c r="O2" i="39"/>
  <c r="C33" i="26"/>
  <c r="P3" i="39" s="1"/>
  <c r="F16" i="28"/>
  <c r="F16" i="31" s="1"/>
  <c r="S20" i="45" s="1"/>
  <c r="P19" i="45"/>
  <c r="E16" i="30"/>
  <c r="R19" i="45" s="1"/>
  <c r="E16" i="31"/>
  <c r="S19" i="45" s="1"/>
  <c r="E16" i="29"/>
  <c r="K25" i="31"/>
  <c r="L25" i="32" s="1"/>
  <c r="K31" i="30"/>
  <c r="M31" i="30"/>
  <c r="M25" i="31"/>
  <c r="N19" i="38"/>
  <c r="Y3" i="49"/>
  <c r="U3" i="40"/>
  <c r="AC2" i="48"/>
  <c r="C36" i="32"/>
  <c r="AE3" i="48" s="1"/>
  <c r="H16" i="22"/>
  <c r="N21" i="45"/>
  <c r="L21" i="36"/>
  <c r="C46" i="22"/>
  <c r="C44" i="22"/>
  <c r="C48" i="22"/>
  <c r="C10" i="27"/>
  <c r="N33" i="47"/>
  <c r="L33" i="38"/>
  <c r="Q5" i="44"/>
  <c r="F9" i="32"/>
  <c r="T6" i="44" s="1"/>
  <c r="H21" i="22"/>
  <c r="N7" i="46"/>
  <c r="L7" i="37"/>
  <c r="H10" i="26"/>
  <c r="P22" i="35" s="1"/>
  <c r="N21" i="35"/>
  <c r="A46" i="23"/>
  <c r="A40" i="24"/>
  <c r="A40" i="25" s="1"/>
  <c r="A40" i="26" s="1"/>
  <c r="I15" i="23"/>
  <c r="I15" i="25" s="1"/>
  <c r="O9" i="36" s="1"/>
  <c r="O8" i="45"/>
  <c r="M8" i="36"/>
  <c r="R6" i="35"/>
  <c r="Q6" i="35"/>
  <c r="N3" i="39"/>
  <c r="D26" i="26"/>
  <c r="G4" i="38" s="1"/>
  <c r="E3" i="38"/>
  <c r="F34" i="22"/>
  <c r="N19" i="48"/>
  <c r="L19" i="39"/>
  <c r="O37" i="43"/>
  <c r="M37" i="27"/>
  <c r="B41" i="24"/>
  <c r="N30" i="40" s="1"/>
  <c r="B41" i="25"/>
  <c r="O30" i="40" s="1"/>
  <c r="E23" i="26"/>
  <c r="P33" i="37" s="1"/>
  <c r="O34" i="45"/>
  <c r="M34" i="36"/>
  <c r="Q2" i="49"/>
  <c r="V20" i="44"/>
  <c r="U20" i="44"/>
  <c r="J31" i="30"/>
  <c r="J25" i="31"/>
  <c r="K25" i="32" s="1"/>
  <c r="AG4" i="45"/>
  <c r="AF4" i="45"/>
  <c r="Q18" i="38"/>
  <c r="R18" i="38"/>
  <c r="N6" i="35"/>
  <c r="G9" i="26"/>
  <c r="P7" i="35" s="1"/>
  <c r="G22" i="22"/>
  <c r="N20" i="46"/>
  <c r="L20" i="37"/>
  <c r="F12" i="31"/>
  <c r="AD6" i="44" s="1"/>
  <c r="G16" i="23"/>
  <c r="O20" i="45"/>
  <c r="M20" i="36"/>
  <c r="F16" i="25"/>
  <c r="O20" i="36" s="1"/>
  <c r="F16" i="24"/>
  <c r="AF4" i="46"/>
  <c r="D40" i="22"/>
  <c r="N17" i="49"/>
  <c r="L17" i="40"/>
  <c r="C40" i="24"/>
  <c r="Q2" i="48"/>
  <c r="C33" i="32"/>
  <c r="T3" i="48" s="1"/>
  <c r="H10" i="28"/>
  <c r="P21" i="44"/>
  <c r="G10" i="30"/>
  <c r="R21" i="44" s="1"/>
  <c r="G10" i="31"/>
  <c r="S21" i="44" s="1"/>
  <c r="H15" i="26"/>
  <c r="P8" i="36" s="1"/>
  <c r="N7" i="36"/>
  <c r="E21" i="26"/>
  <c r="P5" i="37" s="1"/>
  <c r="N4" i="37"/>
  <c r="E21" i="28"/>
  <c r="P4" i="46"/>
  <c r="E28" i="28"/>
  <c r="E28" i="31" s="1"/>
  <c r="S19" i="47" s="1"/>
  <c r="P18" i="47"/>
  <c r="D28" i="30"/>
  <c r="R18" i="47" s="1"/>
  <c r="D28" i="29"/>
  <c r="A48" i="23"/>
  <c r="A42" i="24"/>
  <c r="A42" i="25" s="1"/>
  <c r="A42" i="26" s="1"/>
  <c r="E20" i="25"/>
  <c r="F5" i="37" s="1"/>
  <c r="G20" i="22"/>
  <c r="C6" i="37"/>
  <c r="Q6" i="44"/>
  <c r="D34" i="28"/>
  <c r="D34" i="30" s="1"/>
  <c r="R18" i="48" s="1"/>
  <c r="P17" i="48"/>
  <c r="C34" i="29"/>
  <c r="C34" i="30"/>
  <c r="R17" i="48" s="1"/>
  <c r="C34" i="31"/>
  <c r="S17" i="48" s="1"/>
  <c r="V3" i="47"/>
  <c r="U3" i="47"/>
  <c r="B45" i="23"/>
  <c r="B45" i="24" s="1"/>
  <c r="O2" i="49"/>
  <c r="M2" i="40"/>
  <c r="C39" i="23"/>
  <c r="P31" i="47"/>
  <c r="C29" i="31"/>
  <c r="S31" i="47" s="1"/>
  <c r="C29" i="29"/>
  <c r="C40" i="25"/>
  <c r="O17" i="40" s="1"/>
  <c r="H5" i="36"/>
  <c r="I5" i="36"/>
  <c r="D26" i="28"/>
  <c r="D26" i="30" s="1"/>
  <c r="G4" i="47" s="1"/>
  <c r="E3" i="47"/>
  <c r="C26" i="29"/>
  <c r="C26" i="30"/>
  <c r="G3" i="47" s="1"/>
  <c r="H8" i="28"/>
  <c r="H8" i="31" s="1"/>
  <c r="H8" i="44" s="1"/>
  <c r="G8" i="31"/>
  <c r="H7" i="44" s="1"/>
  <c r="G8" i="30"/>
  <c r="G7" i="44" s="1"/>
  <c r="G8" i="29"/>
  <c r="H24" i="22"/>
  <c r="Y7" i="46"/>
  <c r="U7" i="37"/>
  <c r="O19" i="47"/>
  <c r="M19" i="38"/>
  <c r="B31" i="30"/>
  <c r="B25" i="31"/>
  <c r="C25" i="32" s="1"/>
  <c r="B40" i="29"/>
  <c r="I3" i="26"/>
  <c r="N8" i="27"/>
  <c r="F31" i="30"/>
  <c r="F25" i="31"/>
  <c r="G25" i="32" s="1"/>
  <c r="H8" i="26"/>
  <c r="G8" i="35" s="1"/>
  <c r="E7" i="35"/>
  <c r="E31" i="30"/>
  <c r="E25" i="31"/>
  <c r="F25" i="32" s="1"/>
  <c r="F20" i="23"/>
  <c r="D5" i="46"/>
  <c r="D5" i="37"/>
  <c r="F36" i="22"/>
  <c r="Y5" i="48"/>
  <c r="U5" i="39"/>
  <c r="O4" i="47"/>
  <c r="M4" i="38"/>
  <c r="D27" i="28"/>
  <c r="D27" i="31" s="1"/>
  <c r="S4" i="47" s="1"/>
  <c r="D27" i="25"/>
  <c r="O4" i="38" s="1"/>
  <c r="D27" i="24"/>
  <c r="E27" i="23"/>
  <c r="O9" i="43"/>
  <c r="M9" i="27"/>
  <c r="J4" i="23"/>
  <c r="J38" i="59" s="1"/>
  <c r="N24" i="43"/>
  <c r="L24" i="27"/>
  <c r="H4" i="29"/>
  <c r="P22" i="43"/>
  <c r="N38" i="43"/>
  <c r="L38" i="27"/>
  <c r="V9" i="27"/>
  <c r="Z9" i="43"/>
  <c r="O23" i="43"/>
  <c r="M23" i="27"/>
  <c r="G17" i="23"/>
  <c r="G17" i="25" s="1"/>
  <c r="O35" i="36" s="1"/>
  <c r="N35" i="45"/>
  <c r="L35" i="36"/>
  <c r="N36" i="44"/>
  <c r="L36" i="35"/>
  <c r="B41" i="30"/>
  <c r="R30" i="49" s="1"/>
  <c r="N31" i="49"/>
  <c r="L31" i="40"/>
  <c r="F11" i="32"/>
  <c r="T34" i="44" s="1"/>
  <c r="S33" i="44"/>
  <c r="E23" i="25"/>
  <c r="O33" i="37" s="1"/>
  <c r="O33" i="46"/>
  <c r="M33" i="37"/>
  <c r="G8" i="32"/>
  <c r="I7" i="44" s="1"/>
  <c r="E22" i="28"/>
  <c r="P18" i="46"/>
  <c r="D22" i="29"/>
  <c r="W2" i="40"/>
  <c r="E20" i="28"/>
  <c r="E20" i="29" s="1"/>
  <c r="E4" i="46"/>
  <c r="D20" i="29"/>
  <c r="D20" i="31"/>
  <c r="H4" i="46" s="1"/>
  <c r="D30" i="25"/>
  <c r="Z4" i="47"/>
  <c r="V4" i="38"/>
  <c r="F30" i="22"/>
  <c r="Y5" i="47"/>
  <c r="U5" i="38"/>
  <c r="E30" i="23"/>
  <c r="AB5" i="44"/>
  <c r="F12" i="32"/>
  <c r="AE6" i="44" s="1"/>
  <c r="D22" i="30"/>
  <c r="R18" i="46" s="1"/>
  <c r="E2" i="39"/>
  <c r="C32" i="26"/>
  <c r="G3" i="39" s="1"/>
  <c r="I6" i="36"/>
  <c r="H6" i="36"/>
  <c r="G21" i="23"/>
  <c r="O6" i="46"/>
  <c r="M6" i="37"/>
  <c r="I10" i="23"/>
  <c r="O22" i="44"/>
  <c r="M22" i="35"/>
  <c r="H10" i="24"/>
  <c r="H10" i="25"/>
  <c r="O22" i="35" s="1"/>
  <c r="U32" i="46"/>
  <c r="V32" i="46"/>
  <c r="D30" i="28"/>
  <c r="AA3" i="47"/>
  <c r="C30" i="31"/>
  <c r="AD3" i="47" s="1"/>
  <c r="C30" i="29"/>
  <c r="C30" i="30"/>
  <c r="AC3" i="47" s="1"/>
  <c r="E22" i="26"/>
  <c r="P19" i="37" s="1"/>
  <c r="Y8" i="44"/>
  <c r="U8" i="35"/>
  <c r="H12" i="23"/>
  <c r="H12" i="24" s="1"/>
  <c r="I12" i="22"/>
  <c r="Z7" i="44"/>
  <c r="G12" i="28"/>
  <c r="V7" i="35"/>
  <c r="D38" i="22"/>
  <c r="C3" i="49"/>
  <c r="C3" i="40"/>
  <c r="B47" i="28"/>
  <c r="P30" i="49"/>
  <c r="F18" i="28"/>
  <c r="AA6" i="45" s="1"/>
  <c r="AA5" i="45"/>
  <c r="E18" i="29"/>
  <c r="E18" i="31"/>
  <c r="AD5" i="45" s="1"/>
  <c r="E20" i="24"/>
  <c r="D20" i="30"/>
  <c r="G4" i="46" s="1"/>
  <c r="D22" i="31"/>
  <c r="S18" i="46" s="1"/>
  <c r="A38" i="23"/>
  <c r="A32" i="24"/>
  <c r="A32" i="25" s="1"/>
  <c r="A32" i="26" s="1"/>
  <c r="Q18" i="45"/>
  <c r="E16" i="32"/>
  <c r="T19" i="45" s="1"/>
  <c r="D34" i="24"/>
  <c r="O3" i="48"/>
  <c r="M3" i="39"/>
  <c r="C33" i="28"/>
  <c r="D33" i="23"/>
  <c r="C33" i="25"/>
  <c r="W6" i="35"/>
  <c r="G12" i="26"/>
  <c r="Y7" i="35" s="1"/>
  <c r="Q34" i="35"/>
  <c r="R34" i="35"/>
  <c r="E24" i="28"/>
  <c r="E24" i="31" s="1"/>
  <c r="AD5" i="46" s="1"/>
  <c r="AA4" i="46"/>
  <c r="D24" i="31"/>
  <c r="AD4" i="46" s="1"/>
  <c r="D24" i="30"/>
  <c r="AC4" i="46" s="1"/>
  <c r="C5" i="48"/>
  <c r="C5" i="39"/>
  <c r="F32" i="22"/>
  <c r="H3" i="38"/>
  <c r="I3" i="38"/>
  <c r="F12" i="29"/>
  <c r="E14" i="32"/>
  <c r="I5" i="45" s="1"/>
  <c r="D28" i="32"/>
  <c r="T18" i="47" s="1"/>
  <c r="G28" i="22"/>
  <c r="N20" i="47"/>
  <c r="L20" i="38"/>
  <c r="F28" i="23"/>
  <c r="F14" i="28"/>
  <c r="E5" i="45"/>
  <c r="E14" i="30"/>
  <c r="G5" i="45" s="1"/>
  <c r="E14" i="31"/>
  <c r="H5" i="45" s="1"/>
  <c r="E14" i="29"/>
  <c r="D24" i="29"/>
  <c r="P3" i="47"/>
  <c r="C27" i="30"/>
  <c r="R3" i="47" s="1"/>
  <c r="C27" i="29"/>
  <c r="C45" i="22"/>
  <c r="D8" i="35"/>
  <c r="I9" i="22"/>
  <c r="N8" i="44"/>
  <c r="L8" i="35"/>
  <c r="R18" i="37"/>
  <c r="Q18" i="37"/>
  <c r="B45" i="28"/>
  <c r="P2" i="49"/>
  <c r="C5" i="47"/>
  <c r="C5" i="38"/>
  <c r="E26" i="23"/>
  <c r="F26" i="22"/>
  <c r="D4" i="47"/>
  <c r="D4" i="38"/>
  <c r="A35" i="30"/>
  <c r="A29" i="31"/>
  <c r="A29" i="32" s="1"/>
  <c r="J15" i="22"/>
  <c r="N9" i="45"/>
  <c r="L9" i="36"/>
  <c r="G9" i="28"/>
  <c r="P6" i="44"/>
  <c r="F9" i="31"/>
  <c r="S6" i="44" s="1"/>
  <c r="G18" i="23"/>
  <c r="G18" i="24" s="1"/>
  <c r="Z6" i="45"/>
  <c r="V6" i="36"/>
  <c r="B48" i="23"/>
  <c r="Z2" i="49"/>
  <c r="V2" i="40"/>
  <c r="C42" i="23"/>
  <c r="I14" i="22"/>
  <c r="C8" i="36"/>
  <c r="F9" i="30"/>
  <c r="F22" i="23"/>
  <c r="O19" i="46"/>
  <c r="M19" i="37"/>
  <c r="N16" i="40"/>
  <c r="C40" i="26"/>
  <c r="P17" i="40" s="1"/>
  <c r="B52" i="23"/>
  <c r="O16" i="50"/>
  <c r="M16" i="41"/>
  <c r="C46" i="23"/>
  <c r="B46" i="24"/>
  <c r="R9" i="22"/>
  <c r="J8" i="22"/>
  <c r="C9" i="35"/>
  <c r="I8" i="23"/>
  <c r="AF5" i="44"/>
  <c r="AG5" i="44"/>
  <c r="Y7" i="45"/>
  <c r="U7" i="36"/>
  <c r="H18" i="22"/>
  <c r="A20" i="30"/>
  <c r="A14" i="31"/>
  <c r="A14" i="32" s="1"/>
  <c r="D36" i="23"/>
  <c r="Z3" i="48"/>
  <c r="V3" i="39"/>
  <c r="C36" i="28"/>
  <c r="C36" i="29" s="1"/>
  <c r="C36" i="25"/>
  <c r="X3" i="39" s="1"/>
  <c r="C36" i="24"/>
  <c r="D40" i="23"/>
  <c r="O17" i="49"/>
  <c r="M17" i="40"/>
  <c r="C40" i="28"/>
  <c r="C40" i="30" s="1"/>
  <c r="R17" i="49" s="1"/>
  <c r="R17" i="39"/>
  <c r="Q17" i="39"/>
  <c r="B44" i="28"/>
  <c r="H14" i="23"/>
  <c r="H14" i="25" s="1"/>
  <c r="F8" i="36" s="1"/>
  <c r="D7" i="36"/>
  <c r="H25" i="31"/>
  <c r="I25" i="32" s="1"/>
  <c r="H31" i="30"/>
  <c r="W4" i="37"/>
  <c r="E24" i="26"/>
  <c r="Y5" i="37" s="1"/>
  <c r="F24" i="23"/>
  <c r="Z5" i="46"/>
  <c r="V5" i="37"/>
  <c r="E24" i="24"/>
  <c r="E24" i="25"/>
  <c r="X5" i="37" s="1"/>
  <c r="D27" i="26"/>
  <c r="P4" i="38" s="1"/>
  <c r="N3" i="38"/>
  <c r="H9" i="23"/>
  <c r="O7" i="44"/>
  <c r="M7" i="35"/>
  <c r="F33" i="22"/>
  <c r="N5" i="48"/>
  <c r="L5" i="39"/>
  <c r="F18" i="24"/>
  <c r="D26" i="24"/>
  <c r="F18" i="25"/>
  <c r="X6" i="36" s="1"/>
  <c r="D26" i="25"/>
  <c r="F4" i="38" s="1"/>
  <c r="U10" i="27"/>
  <c r="E17" i="31"/>
  <c r="S33" i="45" s="1"/>
  <c r="G23" i="22"/>
  <c r="I11" i="22"/>
  <c r="C47" i="22"/>
  <c r="B53" i="22"/>
  <c r="G11" i="28"/>
  <c r="P35" i="44" s="1"/>
  <c r="F11" i="30"/>
  <c r="R34" i="44" s="1"/>
  <c r="F11" i="29"/>
  <c r="Q34" i="44" s="1"/>
  <c r="F11" i="31"/>
  <c r="S34" i="44" s="1"/>
  <c r="H17" i="22"/>
  <c r="F29" i="22"/>
  <c r="E29" i="23"/>
  <c r="D41" i="22"/>
  <c r="E17" i="30"/>
  <c r="R33" i="45" s="1"/>
  <c r="F23" i="23"/>
  <c r="H11" i="23"/>
  <c r="G11" i="24"/>
  <c r="D29" i="24"/>
  <c r="N32" i="38" s="1"/>
  <c r="E17" i="29"/>
  <c r="Q33" i="45" s="1"/>
  <c r="E35" i="22"/>
  <c r="D29" i="25"/>
  <c r="O32" i="38" s="1"/>
  <c r="T7" i="26"/>
  <c r="V22" i="22"/>
  <c r="U22" i="23"/>
  <c r="H3" i="30"/>
  <c r="I2" i="24"/>
  <c r="H6" i="31"/>
  <c r="H3" i="29"/>
  <c r="H77" i="59" s="1"/>
  <c r="H6" i="29"/>
  <c r="H3" i="32"/>
  <c r="J3" i="23"/>
  <c r="J37" i="59" s="1"/>
  <c r="I6" i="28"/>
  <c r="I72" i="59" s="1"/>
  <c r="I5" i="24"/>
  <c r="H5" i="31"/>
  <c r="H5" i="30"/>
  <c r="H5" i="29"/>
  <c r="I6" i="24"/>
  <c r="I6" i="25"/>
  <c r="J6" i="23"/>
  <c r="H2" i="29"/>
  <c r="K2" i="22"/>
  <c r="K28" i="59" s="1"/>
  <c r="K3" i="22"/>
  <c r="K29" i="59" s="1"/>
  <c r="H2" i="31"/>
  <c r="H8" i="43" s="1"/>
  <c r="K6" i="22"/>
  <c r="I5" i="25"/>
  <c r="K5" i="22"/>
  <c r="K31" i="59" s="1"/>
  <c r="I3" i="24"/>
  <c r="K4" i="22"/>
  <c r="K30" i="59" s="1"/>
  <c r="J5" i="23"/>
  <c r="J39" i="59" s="1"/>
  <c r="I5" i="28"/>
  <c r="I3" i="28"/>
  <c r="I3" i="25"/>
  <c r="J2" i="23"/>
  <c r="J36" i="59" s="1"/>
  <c r="J7" i="43" l="1"/>
  <c r="K7" i="43"/>
  <c r="H2" i="32"/>
  <c r="I8" i="43" s="1"/>
  <c r="G7" i="43"/>
  <c r="J7" i="44"/>
  <c r="K7" i="44"/>
  <c r="G84" i="59"/>
  <c r="G95" i="59"/>
  <c r="AD7" i="43"/>
  <c r="F105" i="59"/>
  <c r="E23" i="31"/>
  <c r="S33" i="46" s="1"/>
  <c r="AA8" i="43"/>
  <c r="H5" i="32"/>
  <c r="H6" i="30"/>
  <c r="H88" i="59" s="1"/>
  <c r="A49" i="30"/>
  <c r="A49" i="31" s="1"/>
  <c r="A49" i="32" s="1"/>
  <c r="A43" i="31"/>
  <c r="A43" i="32" s="1"/>
  <c r="H4" i="32"/>
  <c r="T22" i="43" s="1"/>
  <c r="V22" i="43" s="1"/>
  <c r="I6" i="26"/>
  <c r="I2" i="26"/>
  <c r="H52" i="59"/>
  <c r="C42" i="26"/>
  <c r="Y3" i="40" s="1"/>
  <c r="R32" i="38"/>
  <c r="H48" i="59"/>
  <c r="I2" i="28"/>
  <c r="I68" i="59" s="1"/>
  <c r="G21" i="26"/>
  <c r="P7" i="37" s="1"/>
  <c r="Q7" i="37" s="1"/>
  <c r="H2" i="30"/>
  <c r="G8" i="43" s="1"/>
  <c r="I8" i="26"/>
  <c r="G9" i="35" s="1"/>
  <c r="I9" i="35" s="1"/>
  <c r="G94" i="59"/>
  <c r="D26" i="29"/>
  <c r="F4" i="47" s="1"/>
  <c r="G79" i="59"/>
  <c r="D26" i="31"/>
  <c r="H4" i="47" s="1"/>
  <c r="U21" i="44"/>
  <c r="G103" i="59"/>
  <c r="L4" i="40"/>
  <c r="N4" i="49"/>
  <c r="Q18" i="39"/>
  <c r="G87" i="59"/>
  <c r="H8" i="30"/>
  <c r="G8" i="44" s="1"/>
  <c r="G101" i="59"/>
  <c r="P36" i="27"/>
  <c r="R36" i="27" s="1"/>
  <c r="H71" i="59"/>
  <c r="H73" i="59" s="1"/>
  <c r="B47" i="24"/>
  <c r="N30" i="41" s="1"/>
  <c r="B47" i="31"/>
  <c r="S30" i="50" s="1"/>
  <c r="Y8" i="27"/>
  <c r="H64" i="59"/>
  <c r="H65" i="59" s="1"/>
  <c r="Q36" i="27"/>
  <c r="V17" i="48"/>
  <c r="AC7" i="43"/>
  <c r="G88" i="59"/>
  <c r="I5" i="37"/>
  <c r="I63" i="59"/>
  <c r="AB7" i="43"/>
  <c r="G80" i="59"/>
  <c r="H6" i="32"/>
  <c r="D35" i="26"/>
  <c r="P32" i="39" s="1"/>
  <c r="R32" i="39" s="1"/>
  <c r="C39" i="32"/>
  <c r="T3" i="49" s="1"/>
  <c r="V3" i="49" s="1"/>
  <c r="F16" i="29"/>
  <c r="Q20" i="45" s="1"/>
  <c r="D29" i="30"/>
  <c r="R32" i="47" s="1"/>
  <c r="H9" i="26"/>
  <c r="P8" i="35" s="1"/>
  <c r="Q8" i="35" s="1"/>
  <c r="C38" i="24"/>
  <c r="E3" i="40" s="1"/>
  <c r="I8" i="27"/>
  <c r="F22" i="26"/>
  <c r="P20" i="37" s="1"/>
  <c r="R20" i="37" s="1"/>
  <c r="V31" i="48"/>
  <c r="Q37" i="27"/>
  <c r="U7" i="43"/>
  <c r="D35" i="24"/>
  <c r="N32" i="39" s="1"/>
  <c r="I4" i="30"/>
  <c r="R23" i="43" s="1"/>
  <c r="A30" i="30"/>
  <c r="A24" i="31"/>
  <c r="A24" i="32" s="1"/>
  <c r="G17" i="24"/>
  <c r="N35" i="36" s="1"/>
  <c r="Q31" i="39"/>
  <c r="G17" i="26"/>
  <c r="P35" i="36" s="1"/>
  <c r="Q35" i="36" s="1"/>
  <c r="E23" i="32"/>
  <c r="T33" i="46" s="1"/>
  <c r="U33" i="46" s="1"/>
  <c r="H14" i="26"/>
  <c r="G8" i="36" s="1"/>
  <c r="I8" i="36" s="1"/>
  <c r="P23" i="43"/>
  <c r="I4" i="31"/>
  <c r="S23" i="43" s="1"/>
  <c r="I4" i="29"/>
  <c r="Q23" i="43" s="1"/>
  <c r="C39" i="26"/>
  <c r="P3" i="40" s="1"/>
  <c r="R3" i="40" s="1"/>
  <c r="B47" i="29"/>
  <c r="Q30" i="50" s="1"/>
  <c r="B47" i="30"/>
  <c r="R30" i="50" s="1"/>
  <c r="E21" i="32"/>
  <c r="T5" i="46" s="1"/>
  <c r="V5" i="46" s="1"/>
  <c r="R19" i="38"/>
  <c r="R6" i="37"/>
  <c r="D29" i="29"/>
  <c r="E34" i="25"/>
  <c r="O19" i="39" s="1"/>
  <c r="D29" i="31"/>
  <c r="S32" i="47" s="1"/>
  <c r="F16" i="30"/>
  <c r="R20" i="45" s="1"/>
  <c r="H12" i="26"/>
  <c r="Y8" i="35" s="1"/>
  <c r="Z8" i="35" s="1"/>
  <c r="C51" i="22"/>
  <c r="N3" i="51" s="1"/>
  <c r="J4" i="26"/>
  <c r="P24" i="27" s="1"/>
  <c r="R24" i="27" s="1"/>
  <c r="C41" i="32"/>
  <c r="T31" i="49" s="1"/>
  <c r="U31" i="49" s="1"/>
  <c r="I54" i="59"/>
  <c r="O23" i="27"/>
  <c r="D27" i="29"/>
  <c r="Q4" i="47" s="1"/>
  <c r="I4" i="32"/>
  <c r="T23" i="43" s="1"/>
  <c r="C41" i="24"/>
  <c r="N31" i="40" s="1"/>
  <c r="F28" i="26"/>
  <c r="P20" i="38" s="1"/>
  <c r="Q20" i="38" s="1"/>
  <c r="R22" i="27"/>
  <c r="H86" i="59"/>
  <c r="E23" i="30"/>
  <c r="R33" i="46" s="1"/>
  <c r="B46" i="30"/>
  <c r="R16" i="50" s="1"/>
  <c r="R22" i="43"/>
  <c r="E23" i="29"/>
  <c r="Q33" i="46" s="1"/>
  <c r="G17" i="28"/>
  <c r="P35" i="45" s="1"/>
  <c r="B46" i="31"/>
  <c r="S16" i="50" s="1"/>
  <c r="F17" i="30"/>
  <c r="R34" i="45" s="1"/>
  <c r="C42" i="32"/>
  <c r="AE3" i="49" s="1"/>
  <c r="AG3" i="49" s="1"/>
  <c r="Z6" i="36"/>
  <c r="I2" i="29"/>
  <c r="I76" i="59" s="1"/>
  <c r="I2" i="31"/>
  <c r="H9" i="43" s="1"/>
  <c r="A28" i="30"/>
  <c r="A22" i="31"/>
  <c r="A22" i="32" s="1"/>
  <c r="H94" i="59"/>
  <c r="Q8" i="27"/>
  <c r="V21" i="43"/>
  <c r="I15" i="24"/>
  <c r="N9" i="36" s="1"/>
  <c r="C32" i="31"/>
  <c r="H3" i="48" s="1"/>
  <c r="C50" i="22"/>
  <c r="D50" i="22" s="1"/>
  <c r="E50" i="22" s="1"/>
  <c r="C32" i="29"/>
  <c r="F3" i="48" s="1"/>
  <c r="G31" i="31"/>
  <c r="H31" i="32" s="1"/>
  <c r="G37" i="30"/>
  <c r="I31" i="31"/>
  <c r="J31" i="32" s="1"/>
  <c r="I37" i="30"/>
  <c r="F18" i="29"/>
  <c r="AB6" i="45" s="1"/>
  <c r="D37" i="30"/>
  <c r="D31" i="31"/>
  <c r="E31" i="32" s="1"/>
  <c r="W9" i="27"/>
  <c r="I48" i="59"/>
  <c r="AD8" i="43"/>
  <c r="H96" i="59"/>
  <c r="C41" i="26"/>
  <c r="P31" i="40" s="1"/>
  <c r="R31" i="40" s="1"/>
  <c r="F18" i="30"/>
  <c r="AC6" i="45" s="1"/>
  <c r="H8" i="29"/>
  <c r="O9" i="27"/>
  <c r="I53" i="59"/>
  <c r="P37" i="43"/>
  <c r="I71" i="59"/>
  <c r="Y11" i="43"/>
  <c r="K32" i="59"/>
  <c r="K33" i="59" s="1"/>
  <c r="Q36" i="43"/>
  <c r="H79" i="59"/>
  <c r="Y9" i="27"/>
  <c r="AA9" i="27" s="1"/>
  <c r="I64" i="59"/>
  <c r="P9" i="43"/>
  <c r="I69" i="59"/>
  <c r="T8" i="43"/>
  <c r="U8" i="43" s="1"/>
  <c r="H101" i="59"/>
  <c r="P9" i="27"/>
  <c r="Q9" i="27" s="1"/>
  <c r="I61" i="59"/>
  <c r="N9" i="27"/>
  <c r="I45" i="59"/>
  <c r="H76" i="59"/>
  <c r="R36" i="43"/>
  <c r="H87" i="59"/>
  <c r="E9" i="27"/>
  <c r="I44" i="59"/>
  <c r="G11" i="29"/>
  <c r="Q35" i="44" s="1"/>
  <c r="F18" i="31"/>
  <c r="AD6" i="45" s="1"/>
  <c r="S36" i="43"/>
  <c r="H95" i="59"/>
  <c r="C36" i="31"/>
  <c r="AD3" i="48" s="1"/>
  <c r="U35" i="43"/>
  <c r="S8" i="43"/>
  <c r="H93" i="59"/>
  <c r="G9" i="27"/>
  <c r="H9" i="27" s="1"/>
  <c r="I60" i="59"/>
  <c r="J2" i="26"/>
  <c r="O37" i="27"/>
  <c r="I55" i="59"/>
  <c r="F23" i="26"/>
  <c r="P34" i="37" s="1"/>
  <c r="R34" i="37" s="1"/>
  <c r="E24" i="30"/>
  <c r="AC5" i="46" s="1"/>
  <c r="C36" i="30"/>
  <c r="AC3" i="48" s="1"/>
  <c r="T36" i="43"/>
  <c r="U36" i="43" s="1"/>
  <c r="H103" i="59"/>
  <c r="H92" i="59"/>
  <c r="J4" i="24"/>
  <c r="J4" i="28"/>
  <c r="J70" i="59" s="1"/>
  <c r="H100" i="59"/>
  <c r="AB8" i="43"/>
  <c r="H80" i="59"/>
  <c r="E24" i="29"/>
  <c r="AB5" i="46" s="1"/>
  <c r="P23" i="27"/>
  <c r="Q23" i="27" s="1"/>
  <c r="I62" i="59"/>
  <c r="F9" i="27"/>
  <c r="I52" i="59"/>
  <c r="Z10" i="43"/>
  <c r="J40" i="59"/>
  <c r="J41" i="59" s="1"/>
  <c r="N37" i="27"/>
  <c r="I47" i="59"/>
  <c r="J4" i="25"/>
  <c r="X9" i="27"/>
  <c r="I56" i="59"/>
  <c r="R8" i="43"/>
  <c r="H85" i="59"/>
  <c r="Q22" i="43"/>
  <c r="H78" i="59"/>
  <c r="D27" i="30"/>
  <c r="R4" i="47" s="1"/>
  <c r="A45" i="23"/>
  <c r="A39" i="24"/>
  <c r="A39" i="25" s="1"/>
  <c r="A39" i="26" s="1"/>
  <c r="A21" i="31"/>
  <c r="A21" i="32" s="1"/>
  <c r="A27" i="30"/>
  <c r="AB3" i="48"/>
  <c r="I11" i="23"/>
  <c r="I11" i="25" s="1"/>
  <c r="O37" i="35" s="1"/>
  <c r="O36" i="44"/>
  <c r="M36" i="35"/>
  <c r="E29" i="24"/>
  <c r="N33" i="38" s="1"/>
  <c r="O33" i="47"/>
  <c r="M33" i="38"/>
  <c r="N30" i="51"/>
  <c r="L30" i="42"/>
  <c r="N31" i="50"/>
  <c r="L31" i="41"/>
  <c r="G24" i="23"/>
  <c r="H24" i="23" s="1"/>
  <c r="H24" i="25" s="1"/>
  <c r="X8" i="37" s="1"/>
  <c r="Z6" i="46"/>
  <c r="V6" i="37"/>
  <c r="F24" i="24"/>
  <c r="F24" i="25"/>
  <c r="X6" i="37" s="1"/>
  <c r="D36" i="26"/>
  <c r="Y4" i="39" s="1"/>
  <c r="W3" i="39"/>
  <c r="D9" i="35"/>
  <c r="I8" i="25"/>
  <c r="F9" i="35" s="1"/>
  <c r="I8" i="24"/>
  <c r="N16" i="41"/>
  <c r="C46" i="26"/>
  <c r="P17" i="41" s="1"/>
  <c r="K15" i="22"/>
  <c r="N10" i="45"/>
  <c r="L10" i="36"/>
  <c r="A41" i="30"/>
  <c r="A35" i="31"/>
  <c r="A35" i="32" s="1"/>
  <c r="C6" i="38"/>
  <c r="F26" i="23"/>
  <c r="F26" i="25" s="1"/>
  <c r="F6" i="38" s="1"/>
  <c r="G26" i="22"/>
  <c r="H9" i="25"/>
  <c r="O8" i="35" s="1"/>
  <c r="D45" i="22"/>
  <c r="N3" i="50"/>
  <c r="L3" i="41"/>
  <c r="O20" i="47"/>
  <c r="M20" i="38"/>
  <c r="AB6" i="44"/>
  <c r="G12" i="32"/>
  <c r="AE7" i="44" s="1"/>
  <c r="AA7" i="35"/>
  <c r="Z7" i="35"/>
  <c r="P3" i="48"/>
  <c r="C33" i="29"/>
  <c r="C33" i="30"/>
  <c r="R3" i="48" s="1"/>
  <c r="C33" i="31"/>
  <c r="S3" i="48" s="1"/>
  <c r="W8" i="35"/>
  <c r="Y9" i="44"/>
  <c r="I12" i="23"/>
  <c r="J12" i="22"/>
  <c r="U9" i="35"/>
  <c r="AB3" i="47"/>
  <c r="D30" i="32"/>
  <c r="AE4" i="47" s="1"/>
  <c r="X4" i="38"/>
  <c r="E30" i="26"/>
  <c r="Y5" i="38" s="1"/>
  <c r="F37" i="30"/>
  <c r="F31" i="31"/>
  <c r="G31" i="32" s="1"/>
  <c r="O3" i="49"/>
  <c r="M3" i="40"/>
  <c r="C39" i="28"/>
  <c r="P3" i="49" s="1"/>
  <c r="D39" i="23"/>
  <c r="C39" i="24"/>
  <c r="C39" i="25"/>
  <c r="O3" i="40" s="1"/>
  <c r="R8" i="36"/>
  <c r="Q8" i="36"/>
  <c r="I10" i="28"/>
  <c r="I10" i="30" s="1"/>
  <c r="R23" i="44" s="1"/>
  <c r="P22" i="44"/>
  <c r="H10" i="30"/>
  <c r="R22" i="44" s="1"/>
  <c r="H10" i="29"/>
  <c r="H10" i="31"/>
  <c r="S22" i="44" s="1"/>
  <c r="O38" i="43"/>
  <c r="M38" i="27"/>
  <c r="N25" i="43"/>
  <c r="L25" i="27"/>
  <c r="N33" i="48"/>
  <c r="L33" i="39"/>
  <c r="G17" i="31"/>
  <c r="S35" i="45" s="1"/>
  <c r="N32" i="49"/>
  <c r="L32" i="40"/>
  <c r="N34" i="47"/>
  <c r="L34" i="38"/>
  <c r="N36" i="45"/>
  <c r="L36" i="36"/>
  <c r="G11" i="30"/>
  <c r="R35" i="44" s="1"/>
  <c r="E26" i="26"/>
  <c r="G5" i="38" s="1"/>
  <c r="E4" i="38"/>
  <c r="Z5" i="37"/>
  <c r="AA5" i="37"/>
  <c r="H31" i="31"/>
  <c r="I31" i="32" s="1"/>
  <c r="H37" i="30"/>
  <c r="I14" i="23"/>
  <c r="I14" i="24" s="1"/>
  <c r="D8" i="36"/>
  <c r="O18" i="49"/>
  <c r="M18" i="40"/>
  <c r="E40" i="23"/>
  <c r="A26" i="30"/>
  <c r="A20" i="31"/>
  <c r="A20" i="32" s="1"/>
  <c r="G18" i="25"/>
  <c r="X7" i="36" s="1"/>
  <c r="C54" i="22"/>
  <c r="G22" i="23"/>
  <c r="G22" i="24" s="1"/>
  <c r="O20" i="46"/>
  <c r="M20" i="37"/>
  <c r="F22" i="25"/>
  <c r="O20" i="37" s="1"/>
  <c r="F22" i="24"/>
  <c r="H14" i="24"/>
  <c r="B54" i="23"/>
  <c r="B54" i="24" s="1"/>
  <c r="Z2" i="50"/>
  <c r="V2" i="41"/>
  <c r="C48" i="23"/>
  <c r="C48" i="24" s="1"/>
  <c r="B48" i="24"/>
  <c r="B48" i="29"/>
  <c r="B48" i="31"/>
  <c r="AD2" i="50" s="1"/>
  <c r="B48" i="30"/>
  <c r="AC2" i="50" s="1"/>
  <c r="H9" i="28"/>
  <c r="H9" i="30" s="1"/>
  <c r="R8" i="44" s="1"/>
  <c r="P7" i="44"/>
  <c r="G9" i="29"/>
  <c r="G9" i="31"/>
  <c r="S7" i="44" s="1"/>
  <c r="G9" i="30"/>
  <c r="R7" i="44" s="1"/>
  <c r="E26" i="25"/>
  <c r="F5" i="38" s="1"/>
  <c r="AB4" i="46"/>
  <c r="E24" i="32"/>
  <c r="AE5" i="46" s="1"/>
  <c r="F5" i="45"/>
  <c r="F14" i="32"/>
  <c r="I6" i="45" s="1"/>
  <c r="G14" i="28"/>
  <c r="F14" i="30"/>
  <c r="G6" i="45" s="1"/>
  <c r="F14" i="31"/>
  <c r="H6" i="45" s="1"/>
  <c r="F14" i="29"/>
  <c r="F24" i="28"/>
  <c r="AA6" i="46" s="1"/>
  <c r="AA5" i="46"/>
  <c r="F5" i="46"/>
  <c r="B53" i="28"/>
  <c r="P30" i="50"/>
  <c r="C4" i="49"/>
  <c r="C4" i="40"/>
  <c r="E38" i="22"/>
  <c r="B48" i="25"/>
  <c r="X2" i="41" s="1"/>
  <c r="H12" i="28"/>
  <c r="H12" i="30" s="1"/>
  <c r="AC8" i="44" s="1"/>
  <c r="AA7" i="44"/>
  <c r="G12" i="31"/>
  <c r="G12" i="29"/>
  <c r="AB7" i="44" s="1"/>
  <c r="G12" i="30"/>
  <c r="AC7" i="44" s="1"/>
  <c r="Z8" i="44"/>
  <c r="V8" i="35"/>
  <c r="H3" i="39"/>
  <c r="I3" i="39"/>
  <c r="E30" i="25"/>
  <c r="X5" i="38" s="1"/>
  <c r="G30" i="22"/>
  <c r="Y6" i="47"/>
  <c r="U6" i="38"/>
  <c r="F30" i="23"/>
  <c r="F4" i="46"/>
  <c r="E20" i="32"/>
  <c r="I5" i="46" s="1"/>
  <c r="AA3" i="40"/>
  <c r="Z3" i="40"/>
  <c r="Q18" i="46"/>
  <c r="E22" i="32"/>
  <c r="T19" i="46" s="1"/>
  <c r="Q16" i="49"/>
  <c r="C40" i="32"/>
  <c r="T17" i="49" s="1"/>
  <c r="F3" i="47"/>
  <c r="D26" i="32"/>
  <c r="D29" i="32"/>
  <c r="T32" i="47" s="1"/>
  <c r="Q31" i="47"/>
  <c r="A54" i="23"/>
  <c r="A54" i="24" s="1"/>
  <c r="A54" i="25" s="1"/>
  <c r="A54" i="26" s="1"/>
  <c r="A48" i="24"/>
  <c r="A48" i="25" s="1"/>
  <c r="A48" i="26" s="1"/>
  <c r="F28" i="28"/>
  <c r="F28" i="30" s="1"/>
  <c r="R20" i="47" s="1"/>
  <c r="P19" i="47"/>
  <c r="E28" i="30"/>
  <c r="R19" i="47" s="1"/>
  <c r="E28" i="29"/>
  <c r="H22" i="22"/>
  <c r="N21" i="46"/>
  <c r="L21" i="37"/>
  <c r="N11" i="43"/>
  <c r="L11" i="27"/>
  <c r="I3" i="32"/>
  <c r="Q8" i="43"/>
  <c r="N37" i="44"/>
  <c r="L37" i="35"/>
  <c r="G33" i="22"/>
  <c r="N6" i="48"/>
  <c r="L6" i="39"/>
  <c r="I9" i="23"/>
  <c r="O8" i="44"/>
  <c r="M8" i="35"/>
  <c r="Q4" i="38"/>
  <c r="R4" i="38"/>
  <c r="W5" i="37"/>
  <c r="F24" i="26"/>
  <c r="Y6" i="37" s="1"/>
  <c r="D40" i="28"/>
  <c r="D40" i="29" s="1"/>
  <c r="P17" i="49"/>
  <c r="C40" i="31"/>
  <c r="S17" i="49" s="1"/>
  <c r="C40" i="29"/>
  <c r="Z4" i="48"/>
  <c r="V4" i="39"/>
  <c r="E36" i="23"/>
  <c r="D36" i="25"/>
  <c r="X4" i="39" s="1"/>
  <c r="D36" i="24"/>
  <c r="W7" i="36"/>
  <c r="K8" i="22"/>
  <c r="C10" i="35"/>
  <c r="J8" i="23"/>
  <c r="Q16" i="50"/>
  <c r="O16" i="51"/>
  <c r="M16" i="42"/>
  <c r="C52" i="23"/>
  <c r="B52" i="24"/>
  <c r="R6" i="44"/>
  <c r="G9" i="32"/>
  <c r="T7" i="44" s="1"/>
  <c r="D42" i="23"/>
  <c r="Z3" i="49"/>
  <c r="V3" i="40"/>
  <c r="C42" i="28"/>
  <c r="C42" i="29" s="1"/>
  <c r="C42" i="24"/>
  <c r="C42" i="25"/>
  <c r="X3" i="40" s="1"/>
  <c r="G18" i="28"/>
  <c r="Z7" i="45"/>
  <c r="V7" i="36"/>
  <c r="E26" i="24"/>
  <c r="D5" i="47"/>
  <c r="D5" i="38"/>
  <c r="B51" i="28"/>
  <c r="P2" i="51" s="1"/>
  <c r="P2" i="50"/>
  <c r="J9" i="22"/>
  <c r="N9" i="44"/>
  <c r="L9" i="35"/>
  <c r="Q3" i="47"/>
  <c r="D27" i="32"/>
  <c r="T4" i="47" s="1"/>
  <c r="F28" i="25"/>
  <c r="O20" i="38" s="1"/>
  <c r="H28" i="22"/>
  <c r="N21" i="47"/>
  <c r="L21" i="38"/>
  <c r="G28" i="23"/>
  <c r="J5" i="45"/>
  <c r="K5" i="45"/>
  <c r="O3" i="39"/>
  <c r="D33" i="26"/>
  <c r="P4" i="39" s="1"/>
  <c r="N18" i="39"/>
  <c r="E34" i="26"/>
  <c r="P19" i="39" s="1"/>
  <c r="E5" i="37"/>
  <c r="F20" i="26"/>
  <c r="G6" i="37" s="1"/>
  <c r="AB5" i="45"/>
  <c r="F18" i="32"/>
  <c r="AE6" i="45" s="1"/>
  <c r="D38" i="26"/>
  <c r="G4" i="40" s="1"/>
  <c r="R19" i="37"/>
  <c r="Q19" i="37"/>
  <c r="J10" i="23"/>
  <c r="O23" i="44"/>
  <c r="M23" i="35"/>
  <c r="I10" i="25"/>
  <c r="O23" i="35" s="1"/>
  <c r="I10" i="24"/>
  <c r="H21" i="23"/>
  <c r="H21" i="25" s="1"/>
  <c r="O8" i="37" s="1"/>
  <c r="O7" i="46"/>
  <c r="M7" i="37"/>
  <c r="G21" i="25"/>
  <c r="O7" i="37" s="1"/>
  <c r="G21" i="24"/>
  <c r="Z5" i="47"/>
  <c r="V5" i="38"/>
  <c r="V34" i="44"/>
  <c r="U34" i="44"/>
  <c r="O35" i="45"/>
  <c r="M35" i="36"/>
  <c r="O24" i="43"/>
  <c r="M24" i="27"/>
  <c r="O5" i="47"/>
  <c r="M5" i="38"/>
  <c r="E27" i="25"/>
  <c r="O5" i="38" s="1"/>
  <c r="E27" i="24"/>
  <c r="F27" i="23"/>
  <c r="G36" i="22"/>
  <c r="Y6" i="48"/>
  <c r="U6" i="39"/>
  <c r="G20" i="23"/>
  <c r="G20" i="24" s="1"/>
  <c r="D6" i="37"/>
  <c r="F20" i="25"/>
  <c r="F6" i="37" s="1"/>
  <c r="F20" i="24"/>
  <c r="I8" i="35"/>
  <c r="H8" i="35"/>
  <c r="B37" i="30"/>
  <c r="B31" i="31"/>
  <c r="C31" i="32" s="1"/>
  <c r="I24" i="22"/>
  <c r="Y8" i="46"/>
  <c r="U8" i="37"/>
  <c r="E34" i="28"/>
  <c r="P18" i="48"/>
  <c r="D34" i="31"/>
  <c r="S18" i="48" s="1"/>
  <c r="D34" i="29"/>
  <c r="D10" i="27"/>
  <c r="N39" i="43"/>
  <c r="L39" i="27"/>
  <c r="C11" i="27"/>
  <c r="I6" i="31"/>
  <c r="AA9" i="43"/>
  <c r="J3" i="24"/>
  <c r="O10" i="43"/>
  <c r="M10" i="27"/>
  <c r="I2" i="30"/>
  <c r="G9" i="43" s="1"/>
  <c r="H11" i="26"/>
  <c r="P36" i="35" s="1"/>
  <c r="N35" i="35"/>
  <c r="G23" i="23"/>
  <c r="G23" i="25" s="1"/>
  <c r="O35" i="37" s="1"/>
  <c r="O34" i="46"/>
  <c r="M34" i="37"/>
  <c r="E29" i="25"/>
  <c r="O33" i="38" s="1"/>
  <c r="N35" i="46"/>
  <c r="L35" i="37"/>
  <c r="W6" i="36"/>
  <c r="G18" i="26"/>
  <c r="Y7" i="36" s="1"/>
  <c r="B50" i="28"/>
  <c r="D36" i="28"/>
  <c r="D36" i="29" s="1"/>
  <c r="AA3" i="48"/>
  <c r="Y8" i="45"/>
  <c r="U8" i="36"/>
  <c r="I18" i="22"/>
  <c r="H18" i="23"/>
  <c r="H18" i="24" s="1"/>
  <c r="C52" i="22"/>
  <c r="D46" i="23"/>
  <c r="O17" i="50"/>
  <c r="M17" i="41"/>
  <c r="C46" i="28"/>
  <c r="C46" i="31" s="1"/>
  <c r="S17" i="50" s="1"/>
  <c r="R17" i="40"/>
  <c r="Q17" i="40"/>
  <c r="J14" i="22"/>
  <c r="C9" i="36"/>
  <c r="H9" i="24"/>
  <c r="F28" i="24"/>
  <c r="V18" i="47"/>
  <c r="U18" i="47"/>
  <c r="G32" i="22"/>
  <c r="C6" i="39"/>
  <c r="O4" i="48"/>
  <c r="M4" i="39"/>
  <c r="D33" i="28"/>
  <c r="D33" i="30" s="1"/>
  <c r="R4" i="48" s="1"/>
  <c r="E33" i="23"/>
  <c r="D33" i="25"/>
  <c r="D33" i="24"/>
  <c r="N4" i="39" s="1"/>
  <c r="V19" i="45"/>
  <c r="U19" i="45"/>
  <c r="A44" i="23"/>
  <c r="A38" i="24"/>
  <c r="A38" i="25" s="1"/>
  <c r="A38" i="26" s="1"/>
  <c r="H12" i="25"/>
  <c r="X8" i="35" s="1"/>
  <c r="E30" i="28"/>
  <c r="E30" i="31" s="1"/>
  <c r="AD5" i="47" s="1"/>
  <c r="AA4" i="47"/>
  <c r="D30" i="30"/>
  <c r="AC4" i="47" s="1"/>
  <c r="D30" i="29"/>
  <c r="D30" i="31"/>
  <c r="AD4" i="47" s="1"/>
  <c r="N22" i="35"/>
  <c r="I10" i="26"/>
  <c r="P23" i="35" s="1"/>
  <c r="AF6" i="44"/>
  <c r="AG6" i="44"/>
  <c r="E30" i="24"/>
  <c r="F20" i="28"/>
  <c r="F20" i="29" s="1"/>
  <c r="E5" i="46"/>
  <c r="E20" i="30"/>
  <c r="G5" i="46" s="1"/>
  <c r="E20" i="31"/>
  <c r="H5" i="46" s="1"/>
  <c r="F22" i="28"/>
  <c r="P19" i="46"/>
  <c r="E22" i="29"/>
  <c r="E22" i="30"/>
  <c r="R19" i="46" s="1"/>
  <c r="E22" i="31"/>
  <c r="S19" i="46" s="1"/>
  <c r="E27" i="26"/>
  <c r="P5" i="38" s="1"/>
  <c r="N4" i="38"/>
  <c r="E27" i="28"/>
  <c r="E27" i="30" s="1"/>
  <c r="R5" i="47" s="1"/>
  <c r="P4" i="47"/>
  <c r="E37" i="30"/>
  <c r="E31" i="31"/>
  <c r="F31" i="32" s="1"/>
  <c r="N2" i="41"/>
  <c r="F21" i="28"/>
  <c r="P5" i="46"/>
  <c r="E21" i="31"/>
  <c r="S5" i="46" s="1"/>
  <c r="E21" i="29"/>
  <c r="E21" i="30"/>
  <c r="R5" i="46" s="1"/>
  <c r="H16" i="23"/>
  <c r="H16" i="24" s="1"/>
  <c r="O21" i="45"/>
  <c r="M21" i="36"/>
  <c r="Q7" i="35"/>
  <c r="R7" i="35"/>
  <c r="Q22" i="35"/>
  <c r="R22" i="35"/>
  <c r="C3" i="50"/>
  <c r="C3" i="41"/>
  <c r="AF3" i="48"/>
  <c r="AG3" i="48"/>
  <c r="O19" i="48"/>
  <c r="M19" i="39"/>
  <c r="F34" i="23"/>
  <c r="F34" i="25" s="1"/>
  <c r="O20" i="39" s="1"/>
  <c r="B54" i="28"/>
  <c r="AA2" i="51" s="1"/>
  <c r="AA2" i="50"/>
  <c r="P31" i="48"/>
  <c r="C35" i="30"/>
  <c r="R31" i="48" s="1"/>
  <c r="C35" i="31"/>
  <c r="S31" i="48" s="1"/>
  <c r="C35" i="29"/>
  <c r="H10" i="32"/>
  <c r="T22" i="44" s="1"/>
  <c r="K3" i="50"/>
  <c r="J3" i="50"/>
  <c r="B45" i="30"/>
  <c r="R2" i="50" s="1"/>
  <c r="N19" i="39"/>
  <c r="D48" i="22"/>
  <c r="Y3" i="50"/>
  <c r="U3" i="41"/>
  <c r="I16" i="22"/>
  <c r="N22" i="45"/>
  <c r="L22" i="36"/>
  <c r="M31" i="31"/>
  <c r="M37" i="30"/>
  <c r="Q19" i="45"/>
  <c r="F16" i="32"/>
  <c r="T20" i="45" s="1"/>
  <c r="G16" i="28"/>
  <c r="G16" i="31" s="1"/>
  <c r="S21" i="45" s="1"/>
  <c r="P20" i="45"/>
  <c r="Z3" i="39"/>
  <c r="AA3" i="39"/>
  <c r="B52" i="25"/>
  <c r="O16" i="42" s="1"/>
  <c r="D32" i="26"/>
  <c r="G4" i="39" s="1"/>
  <c r="E3" i="39"/>
  <c r="C32" i="30"/>
  <c r="G3" i="48" s="1"/>
  <c r="Y2" i="51"/>
  <c r="U2" i="42"/>
  <c r="U18" i="46"/>
  <c r="V18" i="46"/>
  <c r="F42" i="22"/>
  <c r="Y5" i="49"/>
  <c r="U5" i="40"/>
  <c r="K3" i="48"/>
  <c r="J3" i="48"/>
  <c r="K3" i="51"/>
  <c r="J3" i="51"/>
  <c r="C38" i="32"/>
  <c r="B50" i="23"/>
  <c r="D2" i="41"/>
  <c r="C44" i="23"/>
  <c r="C44" i="24" s="1"/>
  <c r="B44" i="29"/>
  <c r="B44" i="24"/>
  <c r="B44" i="25"/>
  <c r="F2" i="41" s="1"/>
  <c r="B44" i="30"/>
  <c r="G2" i="50" s="1"/>
  <c r="B44" i="31"/>
  <c r="H2" i="50" s="1"/>
  <c r="I15" i="26"/>
  <c r="P9" i="36" s="1"/>
  <c r="E26" i="28"/>
  <c r="E26" i="29" s="1"/>
  <c r="E4" i="47"/>
  <c r="Q17" i="48"/>
  <c r="D34" i="32"/>
  <c r="T18" i="48" s="1"/>
  <c r="H20" i="22"/>
  <c r="C7" i="37"/>
  <c r="Q18" i="47"/>
  <c r="E28" i="32"/>
  <c r="T19" i="47" s="1"/>
  <c r="R5" i="37"/>
  <c r="Q5" i="37"/>
  <c r="V3" i="48"/>
  <c r="U3" i="48"/>
  <c r="G16" i="26"/>
  <c r="P21" i="36" s="1"/>
  <c r="N20" i="36"/>
  <c r="J31" i="31"/>
  <c r="K31" i="32" s="1"/>
  <c r="J37" i="30"/>
  <c r="Q33" i="37"/>
  <c r="R33" i="37"/>
  <c r="J15" i="23"/>
  <c r="O9" i="45"/>
  <c r="M9" i="36"/>
  <c r="A52" i="23"/>
  <c r="A52" i="24" s="1"/>
  <c r="A52" i="25" s="1"/>
  <c r="A52" i="26" s="1"/>
  <c r="A46" i="24"/>
  <c r="A46" i="25" s="1"/>
  <c r="A46" i="26" s="1"/>
  <c r="I21" i="22"/>
  <c r="N8" i="46"/>
  <c r="L8" i="37"/>
  <c r="D44" i="22"/>
  <c r="D46" i="22"/>
  <c r="N17" i="50"/>
  <c r="L17" i="41"/>
  <c r="C46" i="24"/>
  <c r="C46" i="25"/>
  <c r="O17" i="41" s="1"/>
  <c r="G16" i="24"/>
  <c r="R20" i="36"/>
  <c r="Q20" i="36"/>
  <c r="C31" i="31"/>
  <c r="D31" i="32" s="1"/>
  <c r="C37" i="30"/>
  <c r="E32" i="23"/>
  <c r="D4" i="48"/>
  <c r="D4" i="39"/>
  <c r="D32" i="28"/>
  <c r="D32" i="31" s="1"/>
  <c r="H4" i="48" s="1"/>
  <c r="D32" i="24"/>
  <c r="D32" i="25"/>
  <c r="F4" i="39" s="1"/>
  <c r="Q6" i="45"/>
  <c r="G15" i="32"/>
  <c r="T7" i="45" s="1"/>
  <c r="H15" i="28"/>
  <c r="P7" i="45"/>
  <c r="G15" i="31"/>
  <c r="S7" i="45" s="1"/>
  <c r="G15" i="29"/>
  <c r="G15" i="30"/>
  <c r="R7" i="45" s="1"/>
  <c r="Q34" i="36"/>
  <c r="R34" i="36"/>
  <c r="F17" i="29"/>
  <c r="P34" i="45"/>
  <c r="J3" i="47"/>
  <c r="K3" i="47"/>
  <c r="H7" i="36"/>
  <c r="I7" i="36"/>
  <c r="AF5" i="45"/>
  <c r="AG5" i="45"/>
  <c r="D3" i="49"/>
  <c r="D3" i="40"/>
  <c r="C38" i="28"/>
  <c r="D38" i="23"/>
  <c r="B53" i="23"/>
  <c r="B53" i="25" s="1"/>
  <c r="O30" i="42" s="1"/>
  <c r="O30" i="50"/>
  <c r="M30" i="41"/>
  <c r="C47" i="23"/>
  <c r="C47" i="25" s="1"/>
  <c r="O31" i="41" s="1"/>
  <c r="B52" i="28"/>
  <c r="P16" i="51" s="1"/>
  <c r="P16" i="50"/>
  <c r="N2" i="51"/>
  <c r="L2" i="42"/>
  <c r="N5" i="49"/>
  <c r="L5" i="40"/>
  <c r="F39" i="22"/>
  <c r="U33" i="45"/>
  <c r="V33" i="45"/>
  <c r="H8" i="32"/>
  <c r="I8" i="44" s="1"/>
  <c r="I8" i="28"/>
  <c r="B51" i="23"/>
  <c r="B51" i="24" s="1"/>
  <c r="O2" i="50"/>
  <c r="M2" i="41"/>
  <c r="C45" i="23"/>
  <c r="N17" i="40"/>
  <c r="D40" i="26"/>
  <c r="P18" i="40" s="1"/>
  <c r="N18" i="49"/>
  <c r="L18" i="40"/>
  <c r="D40" i="24"/>
  <c r="N18" i="40" s="1"/>
  <c r="E40" i="22"/>
  <c r="D40" i="25"/>
  <c r="G34" i="22"/>
  <c r="N20" i="48"/>
  <c r="L20" i="39"/>
  <c r="I4" i="38"/>
  <c r="H4" i="38"/>
  <c r="V6" i="44"/>
  <c r="U6" i="44"/>
  <c r="G16" i="25"/>
  <c r="O21" i="36" s="1"/>
  <c r="K31" i="31"/>
  <c r="L31" i="32" s="1"/>
  <c r="K37" i="30"/>
  <c r="Q3" i="39"/>
  <c r="R3" i="39"/>
  <c r="K10" i="22"/>
  <c r="N24" i="44"/>
  <c r="L24" i="35"/>
  <c r="A53" i="23"/>
  <c r="A53" i="24" s="1"/>
  <c r="A53" i="25" s="1"/>
  <c r="A53" i="26" s="1"/>
  <c r="A47" i="24"/>
  <c r="A47" i="25" s="1"/>
  <c r="A47" i="26" s="1"/>
  <c r="V4" i="46"/>
  <c r="U4" i="46"/>
  <c r="B45" i="25"/>
  <c r="R7" i="37"/>
  <c r="I27" i="22"/>
  <c r="N8" i="47"/>
  <c r="L8" i="38"/>
  <c r="O32" i="48"/>
  <c r="M32" i="39"/>
  <c r="D35" i="28"/>
  <c r="E35" i="23"/>
  <c r="E35" i="24" s="1"/>
  <c r="N33" i="39" s="1"/>
  <c r="J4" i="46"/>
  <c r="K4" i="46"/>
  <c r="U6" i="45"/>
  <c r="V6" i="45"/>
  <c r="J3" i="49"/>
  <c r="K3" i="49"/>
  <c r="E2" i="40"/>
  <c r="C38" i="26"/>
  <c r="G3" i="40" s="1"/>
  <c r="AA4" i="38"/>
  <c r="Z4" i="38"/>
  <c r="O31" i="49"/>
  <c r="M31" i="40"/>
  <c r="C41" i="28"/>
  <c r="D41" i="23"/>
  <c r="D41" i="25" s="1"/>
  <c r="O32" i="40" s="1"/>
  <c r="L31" i="31"/>
  <c r="M31" i="32" s="1"/>
  <c r="L37" i="30"/>
  <c r="B45" i="31"/>
  <c r="S2" i="50" s="1"/>
  <c r="B45" i="29"/>
  <c r="U11" i="27"/>
  <c r="J6" i="25"/>
  <c r="V10" i="27"/>
  <c r="E29" i="28"/>
  <c r="E29" i="31" s="1"/>
  <c r="S33" i="47" s="1"/>
  <c r="F23" i="28"/>
  <c r="E41" i="22"/>
  <c r="G29" i="22"/>
  <c r="F29" i="23"/>
  <c r="I17" i="22"/>
  <c r="J11" i="22"/>
  <c r="H23" i="22"/>
  <c r="G11" i="32"/>
  <c r="T35" i="44" s="1"/>
  <c r="D47" i="22"/>
  <c r="H17" i="23"/>
  <c r="J5" i="26"/>
  <c r="E35" i="26"/>
  <c r="P33" i="39" s="1"/>
  <c r="F17" i="32"/>
  <c r="T34" i="45" s="1"/>
  <c r="H11" i="28"/>
  <c r="P36" i="44" s="1"/>
  <c r="G11" i="31"/>
  <c r="H11" i="25"/>
  <c r="O36" i="35" s="1"/>
  <c r="F23" i="24"/>
  <c r="N34" i="37" s="1"/>
  <c r="F35" i="22"/>
  <c r="H11" i="24"/>
  <c r="N36" i="35" s="1"/>
  <c r="F23" i="25"/>
  <c r="O34" i="37" s="1"/>
  <c r="E29" i="26"/>
  <c r="P33" i="38" s="1"/>
  <c r="C53" i="22"/>
  <c r="U7" i="26"/>
  <c r="W22" i="22"/>
  <c r="V22" i="23"/>
  <c r="J3" i="25"/>
  <c r="K3" i="23"/>
  <c r="K37" i="59" s="1"/>
  <c r="I6" i="30"/>
  <c r="I6" i="29"/>
  <c r="I80" i="59" s="1"/>
  <c r="J6" i="26"/>
  <c r="I5" i="32"/>
  <c r="K2" i="23"/>
  <c r="K36" i="59" s="1"/>
  <c r="J6" i="24"/>
  <c r="K5" i="23"/>
  <c r="K39" i="59" s="1"/>
  <c r="J5" i="28"/>
  <c r="I2" i="32"/>
  <c r="I9" i="43" s="1"/>
  <c r="K6" i="23"/>
  <c r="K40" i="59" s="1"/>
  <c r="J6" i="28"/>
  <c r="J72" i="59" s="1"/>
  <c r="I5" i="30"/>
  <c r="L3" i="22"/>
  <c r="L29" i="59" s="1"/>
  <c r="J3" i="28"/>
  <c r="I3" i="30"/>
  <c r="I3" i="29"/>
  <c r="J5" i="24"/>
  <c r="J2" i="24"/>
  <c r="L4" i="22"/>
  <c r="L30" i="59" s="1"/>
  <c r="J2" i="28"/>
  <c r="J68" i="59" s="1"/>
  <c r="J3" i="26"/>
  <c r="J5" i="25"/>
  <c r="L6" i="22"/>
  <c r="J2" i="25"/>
  <c r="I5" i="31"/>
  <c r="I5" i="29"/>
  <c r="I3" i="31"/>
  <c r="K4" i="23"/>
  <c r="K38" i="59" s="1"/>
  <c r="L5" i="22"/>
  <c r="L31" i="59" s="1"/>
  <c r="L2" i="22"/>
  <c r="L28" i="59" s="1"/>
  <c r="J8" i="44" l="1"/>
  <c r="K8" i="44"/>
  <c r="K6" i="45"/>
  <c r="J6" i="45"/>
  <c r="J8" i="43"/>
  <c r="K8" i="43"/>
  <c r="J9" i="43"/>
  <c r="K9" i="43"/>
  <c r="E26" i="32"/>
  <c r="H102" i="59"/>
  <c r="AC8" i="43"/>
  <c r="I6" i="32"/>
  <c r="I104" i="59" s="1"/>
  <c r="Q20" i="37"/>
  <c r="Q3" i="40"/>
  <c r="I86" i="59"/>
  <c r="D51" i="22"/>
  <c r="H9" i="35"/>
  <c r="H84" i="59"/>
  <c r="U3" i="49"/>
  <c r="G105" i="59"/>
  <c r="C47" i="26"/>
  <c r="P31" i="41" s="1"/>
  <c r="R31" i="41" s="1"/>
  <c r="G16" i="32"/>
  <c r="T21" i="45" s="1"/>
  <c r="V21" i="45" s="1"/>
  <c r="R8" i="35"/>
  <c r="R35" i="36"/>
  <c r="G23" i="24"/>
  <c r="N35" i="37" s="1"/>
  <c r="AA8" i="27"/>
  <c r="Z8" i="27"/>
  <c r="Q32" i="39"/>
  <c r="AE8" i="43"/>
  <c r="H104" i="59"/>
  <c r="H105" i="59" s="1"/>
  <c r="J4" i="30"/>
  <c r="R24" i="43" s="1"/>
  <c r="C47" i="32"/>
  <c r="T31" i="50" s="1"/>
  <c r="V31" i="50" s="1"/>
  <c r="J4" i="31"/>
  <c r="S24" i="43" s="1"/>
  <c r="E29" i="32"/>
  <c r="T33" i="47" s="1"/>
  <c r="U33" i="47" s="1"/>
  <c r="R9" i="27"/>
  <c r="H8" i="36"/>
  <c r="U5" i="46"/>
  <c r="I14" i="25"/>
  <c r="F9" i="36" s="1"/>
  <c r="R23" i="27"/>
  <c r="F34" i="26"/>
  <c r="P20" i="39" s="1"/>
  <c r="Q20" i="39" s="1"/>
  <c r="H17" i="26"/>
  <c r="P36" i="36" s="1"/>
  <c r="R36" i="36" s="1"/>
  <c r="Z9" i="27"/>
  <c r="Q32" i="47"/>
  <c r="J4" i="32"/>
  <c r="T24" i="43" s="1"/>
  <c r="V24" i="43" s="1"/>
  <c r="V33" i="46"/>
  <c r="G20" i="25"/>
  <c r="F7" i="37" s="1"/>
  <c r="V31" i="49"/>
  <c r="G22" i="25"/>
  <c r="O21" i="37" s="1"/>
  <c r="A30" i="31"/>
  <c r="A30" i="32" s="1"/>
  <c r="A36" i="30"/>
  <c r="U23" i="43"/>
  <c r="V23" i="43"/>
  <c r="R20" i="38"/>
  <c r="I78" i="59"/>
  <c r="Q34" i="37"/>
  <c r="I94" i="59"/>
  <c r="I102" i="59"/>
  <c r="I9" i="27"/>
  <c r="V36" i="43"/>
  <c r="G17" i="30"/>
  <c r="R35" i="45" s="1"/>
  <c r="L3" i="42"/>
  <c r="G17" i="29"/>
  <c r="Q35" i="45" s="1"/>
  <c r="I10" i="29"/>
  <c r="Q23" i="44" s="1"/>
  <c r="I10" i="31"/>
  <c r="S23" i="44" s="1"/>
  <c r="J62" i="59"/>
  <c r="I73" i="59"/>
  <c r="D41" i="26"/>
  <c r="P32" i="40" s="1"/>
  <c r="Q32" i="40" s="1"/>
  <c r="F34" i="24"/>
  <c r="G34" i="26" s="1"/>
  <c r="P21" i="39" s="1"/>
  <c r="G18" i="32"/>
  <c r="AE7" i="45" s="1"/>
  <c r="AF7" i="45" s="1"/>
  <c r="I92" i="59"/>
  <c r="D41" i="24"/>
  <c r="N32" i="40" s="1"/>
  <c r="C3" i="42"/>
  <c r="AA8" i="35"/>
  <c r="I8" i="32"/>
  <c r="I9" i="44" s="1"/>
  <c r="C3" i="51"/>
  <c r="K4" i="26"/>
  <c r="P25" i="27" s="1"/>
  <c r="U22" i="43"/>
  <c r="P24" i="43"/>
  <c r="C46" i="32"/>
  <c r="T17" i="50" s="1"/>
  <c r="U17" i="50" s="1"/>
  <c r="J4" i="29"/>
  <c r="Q24" i="43" s="1"/>
  <c r="E27" i="32"/>
  <c r="T5" i="47" s="1"/>
  <c r="U5" i="47" s="1"/>
  <c r="AF3" i="49"/>
  <c r="F23" i="32"/>
  <c r="T34" i="46" s="1"/>
  <c r="V34" i="46" s="1"/>
  <c r="H18" i="25"/>
  <c r="X8" i="36" s="1"/>
  <c r="I11" i="24"/>
  <c r="N37" i="35" s="1"/>
  <c r="J2" i="32"/>
  <c r="I10" i="43" s="1"/>
  <c r="D32" i="30"/>
  <c r="G4" i="48" s="1"/>
  <c r="C42" i="31"/>
  <c r="AD3" i="49" s="1"/>
  <c r="F24" i="32"/>
  <c r="AE6" i="46" s="1"/>
  <c r="AG6" i="46" s="1"/>
  <c r="J15" i="26"/>
  <c r="P10" i="36" s="1"/>
  <c r="R10" i="36" s="1"/>
  <c r="F29" i="26"/>
  <c r="P34" i="38" s="1"/>
  <c r="R34" i="38" s="1"/>
  <c r="V8" i="43"/>
  <c r="C39" i="30"/>
  <c r="R3" i="49" s="1"/>
  <c r="C42" i="30"/>
  <c r="AC3" i="49" s="1"/>
  <c r="C39" i="29"/>
  <c r="Q3" i="49" s="1"/>
  <c r="C46" i="29"/>
  <c r="Q17" i="50" s="1"/>
  <c r="K3" i="26"/>
  <c r="P11" i="27" s="1"/>
  <c r="A34" i="30"/>
  <c r="A28" i="31"/>
  <c r="A28" i="32" s="1"/>
  <c r="C47" i="24"/>
  <c r="D47" i="26" s="1"/>
  <c r="P32" i="41" s="1"/>
  <c r="B51" i="31"/>
  <c r="S2" i="51" s="1"/>
  <c r="C46" i="30"/>
  <c r="R17" i="50" s="1"/>
  <c r="C39" i="31"/>
  <c r="S3" i="49" s="1"/>
  <c r="H21" i="24"/>
  <c r="N8" i="37" s="1"/>
  <c r="C48" i="25"/>
  <c r="X3" i="41" s="1"/>
  <c r="Q31" i="40"/>
  <c r="B53" i="31"/>
  <c r="S30" i="51" s="1"/>
  <c r="D36" i="32"/>
  <c r="AE4" i="48" s="1"/>
  <c r="AF4" i="48" s="1"/>
  <c r="G43" i="30"/>
  <c r="G37" i="31"/>
  <c r="H37" i="32" s="1"/>
  <c r="B53" i="29"/>
  <c r="Q30" i="51" s="1"/>
  <c r="D40" i="31"/>
  <c r="S18" i="49" s="1"/>
  <c r="B54" i="30"/>
  <c r="AC2" i="51" s="1"/>
  <c r="B53" i="24"/>
  <c r="N30" i="42" s="1"/>
  <c r="Q24" i="27"/>
  <c r="I43" i="30"/>
  <c r="I37" i="31"/>
  <c r="J37" i="32" s="1"/>
  <c r="E35" i="25"/>
  <c r="O33" i="39" s="1"/>
  <c r="D40" i="30"/>
  <c r="R18" i="49" s="1"/>
  <c r="G16" i="29"/>
  <c r="Q21" i="45" s="1"/>
  <c r="I65" i="59"/>
  <c r="D43" i="30"/>
  <c r="D37" i="31"/>
  <c r="E37" i="32" s="1"/>
  <c r="F28" i="29"/>
  <c r="Q20" i="47" s="1"/>
  <c r="I100" i="59"/>
  <c r="D33" i="31"/>
  <c r="S4" i="48" s="1"/>
  <c r="I84" i="59"/>
  <c r="D36" i="31"/>
  <c r="AD4" i="48" s="1"/>
  <c r="AC9" i="43"/>
  <c r="I88" i="59"/>
  <c r="N38" i="27"/>
  <c r="J47" i="59"/>
  <c r="S9" i="43"/>
  <c r="I93" i="59"/>
  <c r="X10" i="27"/>
  <c r="J56" i="59"/>
  <c r="K41" i="59"/>
  <c r="W10" i="27"/>
  <c r="J48" i="59"/>
  <c r="D32" i="32"/>
  <c r="H9" i="29"/>
  <c r="O38" i="27"/>
  <c r="J55" i="59"/>
  <c r="P10" i="27"/>
  <c r="R10" i="27" s="1"/>
  <c r="J61" i="59"/>
  <c r="Q37" i="43"/>
  <c r="I79" i="59"/>
  <c r="S37" i="43"/>
  <c r="I95" i="59"/>
  <c r="Q9" i="43"/>
  <c r="I77" i="59"/>
  <c r="P38" i="43"/>
  <c r="J71" i="59"/>
  <c r="T37" i="43"/>
  <c r="V37" i="43" s="1"/>
  <c r="I103" i="59"/>
  <c r="B53" i="30"/>
  <c r="R30" i="51" s="1"/>
  <c r="B51" i="30"/>
  <c r="R2" i="51" s="1"/>
  <c r="D33" i="29"/>
  <c r="Q4" i="48" s="1"/>
  <c r="N10" i="27"/>
  <c r="J45" i="59"/>
  <c r="O24" i="27"/>
  <c r="J54" i="59"/>
  <c r="N24" i="27"/>
  <c r="J46" i="59"/>
  <c r="R9" i="43"/>
  <c r="I85" i="59"/>
  <c r="R37" i="43"/>
  <c r="I87" i="59"/>
  <c r="O10" i="27"/>
  <c r="J53" i="59"/>
  <c r="H16" i="25"/>
  <c r="O22" i="36" s="1"/>
  <c r="E10" i="27"/>
  <c r="J44" i="59"/>
  <c r="P10" i="43"/>
  <c r="J69" i="59"/>
  <c r="Y10" i="27"/>
  <c r="AA10" i="27" s="1"/>
  <c r="J64" i="59"/>
  <c r="P38" i="27"/>
  <c r="R38" i="27" s="1"/>
  <c r="J63" i="59"/>
  <c r="AD9" i="43"/>
  <c r="I96" i="59"/>
  <c r="T9" i="43"/>
  <c r="V9" i="43" s="1"/>
  <c r="I101" i="59"/>
  <c r="Y12" i="43"/>
  <c r="L32" i="59"/>
  <c r="L33" i="59" s="1"/>
  <c r="F10" i="27"/>
  <c r="J52" i="59"/>
  <c r="G10" i="27"/>
  <c r="J60" i="59"/>
  <c r="A33" i="30"/>
  <c r="A27" i="31"/>
  <c r="A27" i="32" s="1"/>
  <c r="A51" i="23"/>
  <c r="A51" i="24" s="1"/>
  <c r="A51" i="25" s="1"/>
  <c r="A51" i="26" s="1"/>
  <c r="A45" i="24"/>
  <c r="A45" i="25" s="1"/>
  <c r="A45" i="26" s="1"/>
  <c r="J6" i="32"/>
  <c r="AB9" i="43"/>
  <c r="J11" i="23"/>
  <c r="J11" i="25" s="1"/>
  <c r="O38" i="35" s="1"/>
  <c r="N38" i="44"/>
  <c r="L38" i="35"/>
  <c r="E3" i="41"/>
  <c r="J2" i="30"/>
  <c r="G10" i="43" s="1"/>
  <c r="K6" i="26"/>
  <c r="K5" i="25"/>
  <c r="O39" i="43"/>
  <c r="M39" i="27"/>
  <c r="U34" i="45"/>
  <c r="V34" i="45"/>
  <c r="F29" i="24"/>
  <c r="N34" i="38" s="1"/>
  <c r="O34" i="47"/>
  <c r="M34" i="38"/>
  <c r="L10" i="22"/>
  <c r="N25" i="44"/>
  <c r="L25" i="35"/>
  <c r="C47" i="28"/>
  <c r="C47" i="29" s="1"/>
  <c r="Q31" i="50" s="1"/>
  <c r="O31" i="50"/>
  <c r="M31" i="41"/>
  <c r="D47" i="23"/>
  <c r="O25" i="43"/>
  <c r="M25" i="27"/>
  <c r="O11" i="43"/>
  <c r="M11" i="27"/>
  <c r="N32" i="50"/>
  <c r="L32" i="41"/>
  <c r="J6" i="29"/>
  <c r="AA10" i="43"/>
  <c r="D11" i="27"/>
  <c r="H11" i="32"/>
  <c r="T36" i="44" s="1"/>
  <c r="S35" i="44"/>
  <c r="R33" i="39"/>
  <c r="Q33" i="39"/>
  <c r="N35" i="47"/>
  <c r="L35" i="38"/>
  <c r="O2" i="41"/>
  <c r="C45" i="26"/>
  <c r="P3" i="41" s="1"/>
  <c r="AB4" i="48"/>
  <c r="N26" i="43"/>
  <c r="L26" i="27"/>
  <c r="C12" i="43"/>
  <c r="C12" i="27"/>
  <c r="N40" i="43"/>
  <c r="L40" i="27"/>
  <c r="N12" i="43"/>
  <c r="L12" i="27"/>
  <c r="V11" i="27"/>
  <c r="Z11" i="43"/>
  <c r="F23" i="30"/>
  <c r="R34" i="46" s="1"/>
  <c r="P34" i="46"/>
  <c r="F23" i="29"/>
  <c r="Q34" i="46" s="1"/>
  <c r="H34" i="22"/>
  <c r="N21" i="48"/>
  <c r="L21" i="39"/>
  <c r="E3" i="49"/>
  <c r="C38" i="30"/>
  <c r="G3" i="49" s="1"/>
  <c r="C38" i="29"/>
  <c r="C38" i="31"/>
  <c r="H3" i="49" s="1"/>
  <c r="F5" i="47"/>
  <c r="N34" i="48"/>
  <c r="L34" i="39"/>
  <c r="U35" i="44"/>
  <c r="V35" i="44"/>
  <c r="H23" i="23"/>
  <c r="H23" i="25" s="1"/>
  <c r="O36" i="37" s="1"/>
  <c r="N36" i="46"/>
  <c r="L36" i="37"/>
  <c r="N37" i="45"/>
  <c r="L37" i="36"/>
  <c r="O32" i="49"/>
  <c r="M32" i="40"/>
  <c r="E41" i="23"/>
  <c r="E41" i="24" s="1"/>
  <c r="N33" i="40" s="1"/>
  <c r="D41" i="28"/>
  <c r="O33" i="48"/>
  <c r="M33" i="39"/>
  <c r="F35" i="23"/>
  <c r="F35" i="25" s="1"/>
  <c r="O34" i="39" s="1"/>
  <c r="J27" i="22"/>
  <c r="N9" i="47"/>
  <c r="L9" i="38"/>
  <c r="G39" i="22"/>
  <c r="N6" i="49"/>
  <c r="L6" i="40"/>
  <c r="E4" i="39"/>
  <c r="E32" i="26"/>
  <c r="G5" i="39" s="1"/>
  <c r="N21" i="36"/>
  <c r="H16" i="26"/>
  <c r="P22" i="36" s="1"/>
  <c r="E44" i="22"/>
  <c r="C4" i="50"/>
  <c r="C4" i="41"/>
  <c r="J43" i="30"/>
  <c r="J37" i="31"/>
  <c r="K37" i="32" s="1"/>
  <c r="E7" i="37"/>
  <c r="H20" i="26"/>
  <c r="G8" i="37" s="1"/>
  <c r="U18" i="48"/>
  <c r="V18" i="48"/>
  <c r="Q9" i="36"/>
  <c r="R9" i="36"/>
  <c r="C44" i="32"/>
  <c r="D2" i="42"/>
  <c r="C50" i="23"/>
  <c r="B50" i="29"/>
  <c r="B50" i="25"/>
  <c r="F2" i="42" s="1"/>
  <c r="B50" i="24"/>
  <c r="B50" i="30"/>
  <c r="G2" i="51" s="1"/>
  <c r="B50" i="31"/>
  <c r="H2" i="51" s="1"/>
  <c r="W2" i="42"/>
  <c r="V20" i="45"/>
  <c r="U20" i="45"/>
  <c r="J16" i="22"/>
  <c r="N23" i="45"/>
  <c r="L23" i="36"/>
  <c r="G16" i="30"/>
  <c r="R21" i="45" s="1"/>
  <c r="I16" i="23"/>
  <c r="O22" i="45"/>
  <c r="M22" i="36"/>
  <c r="F20" i="31"/>
  <c r="H6" i="46" s="1"/>
  <c r="AB4" i="47"/>
  <c r="E30" i="32"/>
  <c r="AE5" i="47" s="1"/>
  <c r="O5" i="48"/>
  <c r="M5" i="39"/>
  <c r="F33" i="23"/>
  <c r="E33" i="25"/>
  <c r="O5" i="39" s="1"/>
  <c r="E33" i="24"/>
  <c r="N20" i="38"/>
  <c r="G28" i="26"/>
  <c r="P21" i="38" s="1"/>
  <c r="N8" i="35"/>
  <c r="I9" i="26"/>
  <c r="P9" i="35" s="1"/>
  <c r="K14" i="22"/>
  <c r="C10" i="36"/>
  <c r="C5" i="51"/>
  <c r="C5" i="42"/>
  <c r="F50" i="22"/>
  <c r="W8" i="36"/>
  <c r="Z8" i="45"/>
  <c r="V8" i="36"/>
  <c r="H18" i="28"/>
  <c r="I5" i="51"/>
  <c r="I5" i="50"/>
  <c r="I5" i="49"/>
  <c r="I5" i="48"/>
  <c r="I5" i="47"/>
  <c r="O35" i="46"/>
  <c r="M35" i="37"/>
  <c r="Q18" i="48"/>
  <c r="E34" i="32"/>
  <c r="T19" i="48" s="1"/>
  <c r="H20" i="23"/>
  <c r="D7" i="37"/>
  <c r="H36" i="22"/>
  <c r="Y7" i="48"/>
  <c r="U7" i="39"/>
  <c r="N5" i="38"/>
  <c r="F27" i="26"/>
  <c r="P6" i="38" s="1"/>
  <c r="E30" i="29"/>
  <c r="I6" i="37"/>
  <c r="H6" i="37"/>
  <c r="V4" i="47"/>
  <c r="U4" i="47"/>
  <c r="I9" i="25"/>
  <c r="O9" i="35" s="1"/>
  <c r="H9" i="31"/>
  <c r="S8" i="44" s="1"/>
  <c r="E5" i="38"/>
  <c r="F26" i="26"/>
  <c r="G6" i="38" s="1"/>
  <c r="Z4" i="49"/>
  <c r="V4" i="40"/>
  <c r="E42" i="23"/>
  <c r="D42" i="24"/>
  <c r="D42" i="25"/>
  <c r="X4" i="40" s="1"/>
  <c r="B52" i="29"/>
  <c r="D52" i="23"/>
  <c r="O17" i="51"/>
  <c r="M17" i="42"/>
  <c r="C52" i="28"/>
  <c r="P17" i="51" s="1"/>
  <c r="D10" i="35"/>
  <c r="J8" i="24"/>
  <c r="J8" i="25"/>
  <c r="F10" i="35" s="1"/>
  <c r="W4" i="39"/>
  <c r="E36" i="26"/>
  <c r="Y5" i="39" s="1"/>
  <c r="E40" i="28"/>
  <c r="E40" i="29" s="1"/>
  <c r="P18" i="49"/>
  <c r="N21" i="37"/>
  <c r="Q19" i="47"/>
  <c r="F28" i="32"/>
  <c r="T20" i="47" s="1"/>
  <c r="I4" i="51"/>
  <c r="I4" i="50"/>
  <c r="I4" i="49"/>
  <c r="I4" i="48"/>
  <c r="I4" i="47"/>
  <c r="F30" i="25"/>
  <c r="X6" i="38" s="1"/>
  <c r="H30" i="22"/>
  <c r="Y7" i="47"/>
  <c r="U7" i="38"/>
  <c r="G30" i="23"/>
  <c r="G30" i="24" s="1"/>
  <c r="D38" i="24"/>
  <c r="W2" i="41"/>
  <c r="C48" i="26"/>
  <c r="Y3" i="41" s="1"/>
  <c r="Z2" i="51"/>
  <c r="V2" i="42"/>
  <c r="C54" i="23"/>
  <c r="C54" i="24" s="1"/>
  <c r="B54" i="25"/>
  <c r="X2" i="42" s="1"/>
  <c r="N20" i="37"/>
  <c r="G22" i="26"/>
  <c r="P21" i="37" s="1"/>
  <c r="A32" i="30"/>
  <c r="A26" i="31"/>
  <c r="A26" i="32" s="1"/>
  <c r="J14" i="23"/>
  <c r="D9" i="36"/>
  <c r="F43" i="30"/>
  <c r="F37" i="31"/>
  <c r="G37" i="32" s="1"/>
  <c r="Z5" i="38"/>
  <c r="AA5" i="38"/>
  <c r="J15" i="25"/>
  <c r="O10" i="36" s="1"/>
  <c r="C4" i="51"/>
  <c r="C4" i="42"/>
  <c r="F24" i="31"/>
  <c r="AD6" i="46" s="1"/>
  <c r="F24" i="29"/>
  <c r="H11" i="31"/>
  <c r="S36" i="44" s="1"/>
  <c r="N31" i="51"/>
  <c r="L31" i="42"/>
  <c r="Q33" i="38"/>
  <c r="R33" i="38"/>
  <c r="O36" i="45"/>
  <c r="M36" i="36"/>
  <c r="N33" i="49"/>
  <c r="L33" i="40"/>
  <c r="E29" i="29"/>
  <c r="Q33" i="47" s="1"/>
  <c r="P33" i="47"/>
  <c r="Q2" i="50"/>
  <c r="C45" i="32"/>
  <c r="T3" i="50" s="1"/>
  <c r="P31" i="49"/>
  <c r="C41" i="31"/>
  <c r="S31" i="49" s="1"/>
  <c r="C41" i="29"/>
  <c r="C41" i="30"/>
  <c r="R31" i="49" s="1"/>
  <c r="E35" i="28"/>
  <c r="P32" i="48"/>
  <c r="D35" i="29"/>
  <c r="D35" i="30"/>
  <c r="R32" i="48" s="1"/>
  <c r="D35" i="31"/>
  <c r="S32" i="48" s="1"/>
  <c r="K37" i="31"/>
  <c r="L37" i="32" s="1"/>
  <c r="K43" i="30"/>
  <c r="E40" i="26"/>
  <c r="P19" i="40" s="1"/>
  <c r="O18" i="40"/>
  <c r="Q18" i="40"/>
  <c r="R18" i="40"/>
  <c r="O2" i="51"/>
  <c r="M2" i="42"/>
  <c r="C51" i="23"/>
  <c r="B51" i="25"/>
  <c r="O2" i="42" s="1"/>
  <c r="J8" i="28"/>
  <c r="B51" i="29"/>
  <c r="Q34" i="45"/>
  <c r="G17" i="32"/>
  <c r="T35" i="45" s="1"/>
  <c r="I15" i="28"/>
  <c r="P8" i="45"/>
  <c r="H15" i="30"/>
  <c r="R8" i="45" s="1"/>
  <c r="H15" i="29"/>
  <c r="H15" i="31"/>
  <c r="S8" i="45" s="1"/>
  <c r="D32" i="29"/>
  <c r="R21" i="36"/>
  <c r="Q21" i="36"/>
  <c r="U19" i="47"/>
  <c r="V19" i="47"/>
  <c r="D44" i="23"/>
  <c r="D44" i="24" s="1"/>
  <c r="E4" i="41" s="1"/>
  <c r="D3" i="50"/>
  <c r="D3" i="41"/>
  <c r="C44" i="28"/>
  <c r="C44" i="29" s="1"/>
  <c r="B54" i="29"/>
  <c r="C44" i="25"/>
  <c r="F3" i="41" s="1"/>
  <c r="F27" i="28"/>
  <c r="F27" i="31" s="1"/>
  <c r="S6" i="47" s="1"/>
  <c r="P5" i="47"/>
  <c r="G22" i="28"/>
  <c r="P20" i="46"/>
  <c r="E33" i="26"/>
  <c r="P5" i="39" s="1"/>
  <c r="O4" i="39"/>
  <c r="E33" i="28"/>
  <c r="E33" i="30" s="1"/>
  <c r="R5" i="48" s="1"/>
  <c r="P4" i="48"/>
  <c r="H32" i="22"/>
  <c r="C7" i="39"/>
  <c r="O18" i="50"/>
  <c r="M18" i="41"/>
  <c r="E46" i="23"/>
  <c r="N4" i="51"/>
  <c r="L4" i="42"/>
  <c r="Y9" i="45"/>
  <c r="I18" i="23"/>
  <c r="I18" i="25" s="1"/>
  <c r="X9" i="36" s="1"/>
  <c r="U9" i="36"/>
  <c r="J18" i="22"/>
  <c r="E27" i="31"/>
  <c r="S5" i="47" s="1"/>
  <c r="I21" i="23"/>
  <c r="I21" i="24" s="1"/>
  <c r="O8" i="46"/>
  <c r="M8" i="37"/>
  <c r="Q4" i="39"/>
  <c r="R4" i="39"/>
  <c r="G28" i="25"/>
  <c r="O21" i="38" s="1"/>
  <c r="I28" i="22"/>
  <c r="N22" i="47"/>
  <c r="L22" i="38"/>
  <c r="H28" i="23"/>
  <c r="I9" i="24"/>
  <c r="D42" i="28"/>
  <c r="AA3" i="49"/>
  <c r="B52" i="30"/>
  <c r="R16" i="51" s="1"/>
  <c r="E51" i="22"/>
  <c r="Q17" i="49"/>
  <c r="D40" i="32"/>
  <c r="T18" i="49" s="1"/>
  <c r="AA6" i="37"/>
  <c r="Z6" i="37"/>
  <c r="H33" i="22"/>
  <c r="N7" i="48"/>
  <c r="L7" i="39"/>
  <c r="F30" i="24"/>
  <c r="H12" i="32"/>
  <c r="AE8" i="44" s="1"/>
  <c r="AD7" i="44"/>
  <c r="F20" i="32"/>
  <c r="I6" i="46" s="1"/>
  <c r="Q7" i="44"/>
  <c r="H9" i="32"/>
  <c r="T8" i="44" s="1"/>
  <c r="D48" i="23"/>
  <c r="D48" i="24" s="1"/>
  <c r="Z3" i="50"/>
  <c r="V3" i="41"/>
  <c r="C48" i="28"/>
  <c r="F22" i="29"/>
  <c r="H22" i="23"/>
  <c r="H22" i="25" s="1"/>
  <c r="O22" i="37" s="1"/>
  <c r="O21" i="46"/>
  <c r="M21" i="37"/>
  <c r="D54" i="22"/>
  <c r="Y3" i="51"/>
  <c r="U3" i="42"/>
  <c r="H43" i="30"/>
  <c r="H37" i="31"/>
  <c r="I37" i="32" s="1"/>
  <c r="D39" i="26"/>
  <c r="P4" i="40" s="1"/>
  <c r="N3" i="40"/>
  <c r="I12" i="24"/>
  <c r="Y10" i="44"/>
  <c r="K12" i="22"/>
  <c r="U10" i="35"/>
  <c r="J12" i="23"/>
  <c r="J12" i="25" s="1"/>
  <c r="X10" i="35" s="1"/>
  <c r="I12" i="26"/>
  <c r="Y9" i="35" s="1"/>
  <c r="C7" i="38"/>
  <c r="H26" i="22"/>
  <c r="G26" i="23"/>
  <c r="G26" i="25" s="1"/>
  <c r="F7" i="38" s="1"/>
  <c r="J15" i="24"/>
  <c r="Z4" i="39"/>
  <c r="AA4" i="39"/>
  <c r="F24" i="30"/>
  <c r="AC6" i="46" s="1"/>
  <c r="L43" i="30"/>
  <c r="L37" i="31"/>
  <c r="M37" i="32" s="1"/>
  <c r="I3" i="40"/>
  <c r="H3" i="40"/>
  <c r="F40" i="22"/>
  <c r="N19" i="49"/>
  <c r="L19" i="40"/>
  <c r="E40" i="24"/>
  <c r="E40" i="25"/>
  <c r="O19" i="40" s="1"/>
  <c r="Q18" i="49"/>
  <c r="O3" i="50"/>
  <c r="M3" i="41"/>
  <c r="C45" i="28"/>
  <c r="P3" i="50" s="1"/>
  <c r="D45" i="23"/>
  <c r="D45" i="25" s="1"/>
  <c r="N2" i="42"/>
  <c r="C53" i="23"/>
  <c r="C53" i="28" s="1"/>
  <c r="O30" i="51"/>
  <c r="M30" i="42"/>
  <c r="E38" i="23"/>
  <c r="D4" i="49"/>
  <c r="D4" i="40"/>
  <c r="D38" i="28"/>
  <c r="D38" i="29" s="1"/>
  <c r="Q7" i="45"/>
  <c r="H15" i="32"/>
  <c r="T8" i="45" s="1"/>
  <c r="V7" i="45"/>
  <c r="U7" i="45"/>
  <c r="F32" i="23"/>
  <c r="D5" i="48"/>
  <c r="D5" i="39"/>
  <c r="E32" i="25"/>
  <c r="F5" i="39" s="1"/>
  <c r="E32" i="24"/>
  <c r="J21" i="22"/>
  <c r="N9" i="46"/>
  <c r="L9" i="37"/>
  <c r="I20" i="22"/>
  <c r="C8" i="37"/>
  <c r="F26" i="28"/>
  <c r="E5" i="47"/>
  <c r="E26" i="31"/>
  <c r="H5" i="47" s="1"/>
  <c r="G42" i="22"/>
  <c r="Y6" i="49"/>
  <c r="U6" i="40"/>
  <c r="B54" i="31"/>
  <c r="AD2" i="51" s="1"/>
  <c r="I4" i="39"/>
  <c r="H4" i="39"/>
  <c r="M43" i="30"/>
  <c r="M37" i="31"/>
  <c r="N22" i="36"/>
  <c r="I16" i="26"/>
  <c r="P23" i="36" s="1"/>
  <c r="V22" i="44"/>
  <c r="U22" i="44"/>
  <c r="C44" i="31"/>
  <c r="H3" i="50" s="1"/>
  <c r="G21" i="28"/>
  <c r="P6" i="46"/>
  <c r="F21" i="30"/>
  <c r="R6" i="46" s="1"/>
  <c r="F21" i="31"/>
  <c r="S6" i="46" s="1"/>
  <c r="F21" i="29"/>
  <c r="E43" i="30"/>
  <c r="E37" i="31"/>
  <c r="F37" i="32" s="1"/>
  <c r="W5" i="38"/>
  <c r="F30" i="26"/>
  <c r="Y6" i="38" s="1"/>
  <c r="R23" i="35"/>
  <c r="Q23" i="35"/>
  <c r="E26" i="30"/>
  <c r="G5" i="47" s="1"/>
  <c r="E9" i="36"/>
  <c r="D46" i="28"/>
  <c r="D46" i="30" s="1"/>
  <c r="R18" i="50" s="1"/>
  <c r="P17" i="50"/>
  <c r="D52" i="22"/>
  <c r="N17" i="51"/>
  <c r="L17" i="42"/>
  <c r="C52" i="24"/>
  <c r="C52" i="25"/>
  <c r="O17" i="42" s="1"/>
  <c r="E36" i="28"/>
  <c r="E36" i="29" s="1"/>
  <c r="AA4" i="48"/>
  <c r="R36" i="35"/>
  <c r="Q36" i="35"/>
  <c r="F22" i="31"/>
  <c r="S20" i="46" s="1"/>
  <c r="H24" i="24"/>
  <c r="J24" i="22"/>
  <c r="Y9" i="46"/>
  <c r="U9" i="37"/>
  <c r="I24" i="23"/>
  <c r="I24" i="24" s="1"/>
  <c r="B37" i="31"/>
  <c r="C37" i="32" s="1"/>
  <c r="B43" i="30"/>
  <c r="E6" i="37"/>
  <c r="G20" i="26"/>
  <c r="G7" i="37" s="1"/>
  <c r="E27" i="29"/>
  <c r="N7" i="37"/>
  <c r="H21" i="26"/>
  <c r="P8" i="37" s="1"/>
  <c r="N23" i="35"/>
  <c r="J10" i="26"/>
  <c r="P24" i="35" s="1"/>
  <c r="K10" i="23"/>
  <c r="O24" i="44"/>
  <c r="M24" i="35"/>
  <c r="J10" i="25"/>
  <c r="O24" i="35" s="1"/>
  <c r="J10" i="24"/>
  <c r="I4" i="40"/>
  <c r="H4" i="40"/>
  <c r="AG6" i="45"/>
  <c r="AF6" i="45"/>
  <c r="G28" i="24"/>
  <c r="AA7" i="45"/>
  <c r="G18" i="30"/>
  <c r="AC7" i="45" s="1"/>
  <c r="G18" i="29"/>
  <c r="AB3" i="49"/>
  <c r="V7" i="44"/>
  <c r="U7" i="44"/>
  <c r="B52" i="31"/>
  <c r="S16" i="51" s="1"/>
  <c r="L8" i="22"/>
  <c r="C11" i="35"/>
  <c r="K8" i="23"/>
  <c r="H18" i="26"/>
  <c r="Y8" i="36" s="1"/>
  <c r="D36" i="30"/>
  <c r="AC4" i="48" s="1"/>
  <c r="Z5" i="48"/>
  <c r="V5" i="39"/>
  <c r="F36" i="23"/>
  <c r="E36" i="25"/>
  <c r="X5" i="39" s="1"/>
  <c r="E36" i="24"/>
  <c r="I22" i="22"/>
  <c r="N22" i="46"/>
  <c r="L22" i="37"/>
  <c r="V17" i="49"/>
  <c r="U17" i="49"/>
  <c r="Z6" i="47"/>
  <c r="V6" i="38"/>
  <c r="D38" i="25"/>
  <c r="F4" i="40" s="1"/>
  <c r="P30" i="51"/>
  <c r="E8" i="36"/>
  <c r="I14" i="26"/>
  <c r="G9" i="36" s="1"/>
  <c r="J10" i="28"/>
  <c r="P23" i="44"/>
  <c r="I12" i="25"/>
  <c r="X9" i="35" s="1"/>
  <c r="AG7" i="44"/>
  <c r="AF7" i="44"/>
  <c r="C45" i="24"/>
  <c r="N4" i="50"/>
  <c r="L4" i="41"/>
  <c r="E45" i="22"/>
  <c r="F26" i="24"/>
  <c r="J8" i="26"/>
  <c r="G10" i="35" s="1"/>
  <c r="E9" i="35"/>
  <c r="O37" i="44"/>
  <c r="M37" i="35"/>
  <c r="E32" i="28"/>
  <c r="E32" i="29" s="1"/>
  <c r="E4" i="48"/>
  <c r="C37" i="31"/>
  <c r="D37" i="32" s="1"/>
  <c r="C43" i="30"/>
  <c r="D46" i="26"/>
  <c r="P18" i="41" s="1"/>
  <c r="N17" i="41"/>
  <c r="N18" i="50"/>
  <c r="L18" i="41"/>
  <c r="D46" i="24"/>
  <c r="N18" i="41" s="1"/>
  <c r="D46" i="25"/>
  <c r="E46" i="22"/>
  <c r="K15" i="23"/>
  <c r="K15" i="24" s="1"/>
  <c r="O10" i="45"/>
  <c r="M10" i="36"/>
  <c r="E2" i="41"/>
  <c r="C44" i="26"/>
  <c r="G3" i="41" s="1"/>
  <c r="H16" i="28"/>
  <c r="P21" i="45"/>
  <c r="D48" i="26"/>
  <c r="Y4" i="41" s="1"/>
  <c r="W3" i="41"/>
  <c r="E48" i="22"/>
  <c r="Y4" i="50"/>
  <c r="U4" i="41"/>
  <c r="D35" i="32"/>
  <c r="T32" i="48" s="1"/>
  <c r="Q31" i="48"/>
  <c r="O20" i="48"/>
  <c r="M20" i="39"/>
  <c r="G34" i="23"/>
  <c r="Q5" i="46"/>
  <c r="F21" i="32"/>
  <c r="T6" i="46" s="1"/>
  <c r="R5" i="38"/>
  <c r="Q5" i="38"/>
  <c r="Q19" i="46"/>
  <c r="F22" i="32"/>
  <c r="T20" i="46" s="1"/>
  <c r="G20" i="28"/>
  <c r="F30" i="28"/>
  <c r="AA5" i="47"/>
  <c r="E30" i="30"/>
  <c r="AC5" i="47" s="1"/>
  <c r="A50" i="23"/>
  <c r="A50" i="24" s="1"/>
  <c r="A50" i="25" s="1"/>
  <c r="A50" i="26" s="1"/>
  <c r="A44" i="24"/>
  <c r="A44" i="25" s="1"/>
  <c r="A44" i="26" s="1"/>
  <c r="Q8" i="44"/>
  <c r="I8" i="29"/>
  <c r="AA7" i="36"/>
  <c r="Z7" i="36"/>
  <c r="F34" i="28"/>
  <c r="P19" i="48"/>
  <c r="E34" i="31"/>
  <c r="S19" i="48" s="1"/>
  <c r="E34" i="30"/>
  <c r="R19" i="48" s="1"/>
  <c r="E34" i="29"/>
  <c r="Z8" i="46"/>
  <c r="V8" i="37"/>
  <c r="F20" i="30"/>
  <c r="G6" i="46" s="1"/>
  <c r="O6" i="47"/>
  <c r="M6" i="38"/>
  <c r="F27" i="24"/>
  <c r="F27" i="25"/>
  <c r="O6" i="38" s="1"/>
  <c r="G27" i="23"/>
  <c r="Q19" i="39"/>
  <c r="R19" i="39"/>
  <c r="O21" i="47"/>
  <c r="M21" i="38"/>
  <c r="K9" i="22"/>
  <c r="N10" i="44"/>
  <c r="L10" i="35"/>
  <c r="D42" i="26"/>
  <c r="Y4" i="40" s="1"/>
  <c r="W3" i="40"/>
  <c r="N16" i="42"/>
  <c r="C52" i="26"/>
  <c r="P17" i="42" s="1"/>
  <c r="I8" i="31"/>
  <c r="H9" i="44" s="1"/>
  <c r="J9" i="23"/>
  <c r="J9" i="24" s="1"/>
  <c r="O9" i="44"/>
  <c r="M9" i="35"/>
  <c r="G28" i="28"/>
  <c r="P20" i="47"/>
  <c r="V32" i="47"/>
  <c r="U32" i="47"/>
  <c r="V19" i="46"/>
  <c r="U19" i="46"/>
  <c r="J5" i="46"/>
  <c r="K5" i="46"/>
  <c r="AA8" i="44"/>
  <c r="H12" i="29"/>
  <c r="H12" i="31"/>
  <c r="AD8" i="44" s="1"/>
  <c r="C5" i="49"/>
  <c r="C5" i="40"/>
  <c r="F38" i="22"/>
  <c r="F28" i="31"/>
  <c r="S20" i="47" s="1"/>
  <c r="G14" i="32"/>
  <c r="I7" i="45" s="1"/>
  <c r="H14" i="28"/>
  <c r="G14" i="29"/>
  <c r="G14" i="31"/>
  <c r="H7" i="45" s="1"/>
  <c r="G14" i="30"/>
  <c r="G7" i="45" s="1"/>
  <c r="AG5" i="46"/>
  <c r="AF5" i="46"/>
  <c r="I9" i="28"/>
  <c r="I9" i="29" s="1"/>
  <c r="P8" i="44"/>
  <c r="AB2" i="50"/>
  <c r="C48" i="32"/>
  <c r="AE3" i="50" s="1"/>
  <c r="F22" i="30"/>
  <c r="R20" i="46" s="1"/>
  <c r="I8" i="30"/>
  <c r="G9" i="44" s="1"/>
  <c r="O19" i="49"/>
  <c r="M19" i="40"/>
  <c r="F40" i="23"/>
  <c r="H5" i="38"/>
  <c r="I5" i="38"/>
  <c r="Q22" i="44"/>
  <c r="I10" i="32"/>
  <c r="T23" i="44" s="1"/>
  <c r="E39" i="23"/>
  <c r="O4" i="49"/>
  <c r="M4" i="40"/>
  <c r="D39" i="28"/>
  <c r="D39" i="29" s="1"/>
  <c r="D39" i="24"/>
  <c r="D39" i="25"/>
  <c r="O4" i="40" s="1"/>
  <c r="AG4" i="47"/>
  <c r="AF4" i="47"/>
  <c r="Z9" i="44"/>
  <c r="I12" i="28"/>
  <c r="V9" i="35"/>
  <c r="Q3" i="48"/>
  <c r="D33" i="32"/>
  <c r="T4" i="48" s="1"/>
  <c r="C45" i="25"/>
  <c r="O3" i="41" s="1"/>
  <c r="D6" i="38"/>
  <c r="A47" i="30"/>
  <c r="A41" i="31"/>
  <c r="A41" i="32" s="1"/>
  <c r="L15" i="22"/>
  <c r="N11" i="45"/>
  <c r="L11" i="36"/>
  <c r="Q17" i="41"/>
  <c r="R17" i="41"/>
  <c r="G24" i="26"/>
  <c r="Y7" i="37" s="1"/>
  <c r="W6" i="37"/>
  <c r="Z7" i="46"/>
  <c r="V7" i="37"/>
  <c r="G24" i="28"/>
  <c r="G24" i="31" s="1"/>
  <c r="AD7" i="46" s="1"/>
  <c r="G24" i="25"/>
  <c r="X7" i="37" s="1"/>
  <c r="G24" i="24"/>
  <c r="G18" i="31"/>
  <c r="AD7" i="45" s="1"/>
  <c r="U12" i="27"/>
  <c r="I17" i="23"/>
  <c r="I17" i="24" s="1"/>
  <c r="I11" i="26"/>
  <c r="P37" i="35" s="1"/>
  <c r="H17" i="25"/>
  <c r="O36" i="36" s="1"/>
  <c r="H17" i="24"/>
  <c r="N36" i="36" s="1"/>
  <c r="H17" i="28"/>
  <c r="E29" i="30"/>
  <c r="F29" i="28"/>
  <c r="F29" i="30" s="1"/>
  <c r="R34" i="47" s="1"/>
  <c r="I11" i="28"/>
  <c r="P37" i="44" s="1"/>
  <c r="H11" i="29"/>
  <c r="Q36" i="44" s="1"/>
  <c r="H11" i="30"/>
  <c r="R36" i="44" s="1"/>
  <c r="H29" i="22"/>
  <c r="G29" i="23"/>
  <c r="G23" i="28"/>
  <c r="P35" i="46" s="1"/>
  <c r="F23" i="31"/>
  <c r="S34" i="46" s="1"/>
  <c r="K11" i="22"/>
  <c r="F29" i="25"/>
  <c r="D53" i="22"/>
  <c r="G35" i="22"/>
  <c r="E47" i="22"/>
  <c r="G23" i="26"/>
  <c r="P35" i="37" s="1"/>
  <c r="I23" i="22"/>
  <c r="K5" i="24"/>
  <c r="J17" i="22"/>
  <c r="F41" i="22"/>
  <c r="V7" i="26"/>
  <c r="X22" i="22"/>
  <c r="W22" i="23"/>
  <c r="K3" i="25"/>
  <c r="K3" i="24"/>
  <c r="L3" i="23"/>
  <c r="L37" i="59" s="1"/>
  <c r="K6" i="28"/>
  <c r="K72" i="59" s="1"/>
  <c r="L5" i="23"/>
  <c r="L39" i="59" s="1"/>
  <c r="K6" i="24"/>
  <c r="K6" i="25"/>
  <c r="L6" i="23"/>
  <c r="L40" i="59" s="1"/>
  <c r="J2" i="31"/>
  <c r="J2" i="29"/>
  <c r="K5" i="28"/>
  <c r="K71" i="59" s="1"/>
  <c r="K2" i="28"/>
  <c r="K2" i="24"/>
  <c r="K2" i="25"/>
  <c r="J5" i="31"/>
  <c r="J6" i="31"/>
  <c r="J5" i="29"/>
  <c r="J5" i="30"/>
  <c r="J6" i="30"/>
  <c r="L4" i="23"/>
  <c r="L38" i="59" s="1"/>
  <c r="J5" i="32"/>
  <c r="K2" i="26"/>
  <c r="K5" i="26"/>
  <c r="M2" i="22"/>
  <c r="M28" i="59" s="1"/>
  <c r="M4" i="22"/>
  <c r="M30" i="59" s="1"/>
  <c r="J3" i="32"/>
  <c r="M3" i="22"/>
  <c r="M29" i="59" s="1"/>
  <c r="M6" i="22"/>
  <c r="K3" i="28"/>
  <c r="J3" i="30"/>
  <c r="J3" i="29"/>
  <c r="J3" i="31"/>
  <c r="L2" i="23"/>
  <c r="L36" i="59" s="1"/>
  <c r="K4" i="24"/>
  <c r="M5" i="22"/>
  <c r="M31" i="59" s="1"/>
  <c r="K4" i="28"/>
  <c r="K4" i="25"/>
  <c r="J6" i="46" l="1"/>
  <c r="K6" i="46"/>
  <c r="J9" i="44"/>
  <c r="K9" i="44"/>
  <c r="K10" i="43"/>
  <c r="J10" i="43"/>
  <c r="J7" i="45"/>
  <c r="K7" i="45"/>
  <c r="J92" i="59"/>
  <c r="H10" i="43"/>
  <c r="V33" i="47"/>
  <c r="AE9" i="43"/>
  <c r="AG9" i="43" s="1"/>
  <c r="J94" i="59"/>
  <c r="Q31" i="41"/>
  <c r="U21" i="45"/>
  <c r="H23" i="24"/>
  <c r="N36" i="37" s="1"/>
  <c r="C45" i="29"/>
  <c r="Q3" i="50" s="1"/>
  <c r="D48" i="25"/>
  <c r="X4" i="41" s="1"/>
  <c r="H23" i="26"/>
  <c r="P36" i="37" s="1"/>
  <c r="R36" i="37" s="1"/>
  <c r="J10" i="32"/>
  <c r="T24" i="44" s="1"/>
  <c r="V24" i="44" s="1"/>
  <c r="J11" i="26"/>
  <c r="P38" i="35" s="1"/>
  <c r="H22" i="26"/>
  <c r="P22" i="37" s="1"/>
  <c r="R20" i="39"/>
  <c r="R32" i="40"/>
  <c r="J102" i="59"/>
  <c r="J14" i="26"/>
  <c r="G10" i="36" s="1"/>
  <c r="H10" i="36" s="1"/>
  <c r="C53" i="26"/>
  <c r="P31" i="42" s="1"/>
  <c r="Q31" i="42" s="1"/>
  <c r="Q10" i="36"/>
  <c r="Q38" i="27"/>
  <c r="U31" i="50"/>
  <c r="K15" i="25"/>
  <c r="O11" i="36" s="1"/>
  <c r="V5" i="47"/>
  <c r="J86" i="59"/>
  <c r="J11" i="24"/>
  <c r="N38" i="35" s="1"/>
  <c r="AG8" i="43"/>
  <c r="AF8" i="43"/>
  <c r="Q36" i="36"/>
  <c r="V17" i="50"/>
  <c r="Q10" i="27"/>
  <c r="I18" i="26"/>
  <c r="Y9" i="36" s="1"/>
  <c r="Z9" i="36" s="1"/>
  <c r="N20" i="39"/>
  <c r="Q34" i="38"/>
  <c r="N31" i="41"/>
  <c r="H17" i="32"/>
  <c r="T36" i="45" s="1"/>
  <c r="U36" i="45" s="1"/>
  <c r="U34" i="46"/>
  <c r="L5" i="26"/>
  <c r="P40" i="27" s="1"/>
  <c r="R40" i="27" s="1"/>
  <c r="F35" i="24"/>
  <c r="N34" i="39" s="1"/>
  <c r="A42" i="30"/>
  <c r="A36" i="31"/>
  <c r="A36" i="32" s="1"/>
  <c r="L3" i="25"/>
  <c r="L53" i="59" s="1"/>
  <c r="AF6" i="46"/>
  <c r="K4" i="32"/>
  <c r="K102" i="59" s="1"/>
  <c r="J78" i="59"/>
  <c r="C53" i="25"/>
  <c r="O31" i="42" s="1"/>
  <c r="C53" i="24"/>
  <c r="N31" i="42" s="1"/>
  <c r="E41" i="26"/>
  <c r="P33" i="40" s="1"/>
  <c r="Q33" i="40" s="1"/>
  <c r="C51" i="26"/>
  <c r="P3" i="42" s="1"/>
  <c r="Q3" i="42" s="1"/>
  <c r="AG7" i="45"/>
  <c r="U9" i="43"/>
  <c r="Z10" i="27"/>
  <c r="E40" i="31"/>
  <c r="S19" i="49" s="1"/>
  <c r="E40" i="32"/>
  <c r="T19" i="49" s="1"/>
  <c r="V19" i="49" s="1"/>
  <c r="R25" i="27"/>
  <c r="Q25" i="27"/>
  <c r="Q11" i="27"/>
  <c r="R11" i="27"/>
  <c r="AF9" i="43"/>
  <c r="AG4" i="48"/>
  <c r="L3" i="24"/>
  <c r="L45" i="59" s="1"/>
  <c r="E36" i="30"/>
  <c r="AC5" i="48" s="1"/>
  <c r="U24" i="43"/>
  <c r="K61" i="59"/>
  <c r="K62" i="59"/>
  <c r="J100" i="59"/>
  <c r="E41" i="25"/>
  <c r="O33" i="40" s="1"/>
  <c r="I21" i="26"/>
  <c r="P9" i="37" s="1"/>
  <c r="Q9" i="37" s="1"/>
  <c r="D46" i="32"/>
  <c r="T18" i="50" s="1"/>
  <c r="V18" i="50" s="1"/>
  <c r="J73" i="59"/>
  <c r="H16" i="32"/>
  <c r="T22" i="45" s="1"/>
  <c r="U22" i="45" s="1"/>
  <c r="E40" i="30"/>
  <c r="R19" i="49" s="1"/>
  <c r="K11" i="23"/>
  <c r="K11" i="25" s="1"/>
  <c r="O39" i="35" s="1"/>
  <c r="F27" i="30"/>
  <c r="R6" i="47" s="1"/>
  <c r="D38" i="30"/>
  <c r="G4" i="49" s="1"/>
  <c r="G30" i="25"/>
  <c r="X7" i="38" s="1"/>
  <c r="J65" i="59"/>
  <c r="F35" i="26"/>
  <c r="P34" i="39" s="1"/>
  <c r="F27" i="29"/>
  <c r="Q6" i="47" s="1"/>
  <c r="D46" i="31"/>
  <c r="S18" i="50" s="1"/>
  <c r="D46" i="29"/>
  <c r="Q18" i="50" s="1"/>
  <c r="I17" i="25"/>
  <c r="O37" i="36" s="1"/>
  <c r="D39" i="32"/>
  <c r="T4" i="49" s="1"/>
  <c r="V4" i="49" s="1"/>
  <c r="E33" i="32"/>
  <c r="T5" i="48" s="1"/>
  <c r="V5" i="48" s="1"/>
  <c r="K6" i="30"/>
  <c r="K88" i="59" s="1"/>
  <c r="D42" i="32"/>
  <c r="AE4" i="49" s="1"/>
  <c r="AG4" i="49" s="1"/>
  <c r="C47" i="30"/>
  <c r="R31" i="50" s="1"/>
  <c r="A40" i="30"/>
  <c r="A34" i="31"/>
  <c r="A34" i="32" s="1"/>
  <c r="I9" i="32"/>
  <c r="T9" i="44" s="1"/>
  <c r="V9" i="44" s="1"/>
  <c r="E36" i="31"/>
  <c r="AD5" i="48" s="1"/>
  <c r="C53" i="32"/>
  <c r="T31" i="51" s="1"/>
  <c r="U31" i="51" s="1"/>
  <c r="F29" i="29"/>
  <c r="Q34" i="47" s="1"/>
  <c r="C52" i="30"/>
  <c r="R17" i="51" s="1"/>
  <c r="G26" i="24"/>
  <c r="H26" i="26" s="1"/>
  <c r="G8" i="38" s="1"/>
  <c r="D49" i="30"/>
  <c r="D49" i="31" s="1"/>
  <c r="E49" i="32" s="1"/>
  <c r="D43" i="31"/>
  <c r="E43" i="32" s="1"/>
  <c r="I49" i="30"/>
  <c r="I49" i="31" s="1"/>
  <c r="J49" i="32" s="1"/>
  <c r="I43" i="31"/>
  <c r="J43" i="32" s="1"/>
  <c r="I17" i="26"/>
  <c r="P37" i="36" s="1"/>
  <c r="Q37" i="36" s="1"/>
  <c r="C52" i="31"/>
  <c r="S17" i="51" s="1"/>
  <c r="G49" i="30"/>
  <c r="G49" i="31" s="1"/>
  <c r="H49" i="32" s="1"/>
  <c r="G43" i="31"/>
  <c r="H43" i="32" s="1"/>
  <c r="C52" i="29"/>
  <c r="Q17" i="51" s="1"/>
  <c r="P31" i="51"/>
  <c r="C53" i="30"/>
  <c r="R31" i="51" s="1"/>
  <c r="C53" i="29"/>
  <c r="Q31" i="51" s="1"/>
  <c r="C53" i="31"/>
  <c r="S31" i="51" s="1"/>
  <c r="D39" i="30"/>
  <c r="R4" i="49" s="1"/>
  <c r="H22" i="24"/>
  <c r="N22" i="37" s="1"/>
  <c r="C45" i="31"/>
  <c r="S3" i="50" s="1"/>
  <c r="E33" i="29"/>
  <c r="Q5" i="48" s="1"/>
  <c r="F26" i="32"/>
  <c r="S10" i="43"/>
  <c r="J93" i="59"/>
  <c r="P25" i="43"/>
  <c r="K70" i="59"/>
  <c r="Q10" i="43"/>
  <c r="J77" i="59"/>
  <c r="F11" i="27"/>
  <c r="K52" i="59"/>
  <c r="X11" i="27"/>
  <c r="K56" i="59"/>
  <c r="O11" i="27"/>
  <c r="K53" i="59"/>
  <c r="O25" i="27"/>
  <c r="K54" i="59"/>
  <c r="R10" i="43"/>
  <c r="J85" i="59"/>
  <c r="R38" i="43"/>
  <c r="J87" i="59"/>
  <c r="E11" i="27"/>
  <c r="K44" i="59"/>
  <c r="G20" i="32"/>
  <c r="I7" i="46" s="1"/>
  <c r="I10" i="27"/>
  <c r="H10" i="27"/>
  <c r="K68" i="59"/>
  <c r="N12" i="27"/>
  <c r="P39" i="27"/>
  <c r="R39" i="27" s="1"/>
  <c r="K63" i="59"/>
  <c r="T38" i="43"/>
  <c r="U38" i="43" s="1"/>
  <c r="J103" i="59"/>
  <c r="Q38" i="43"/>
  <c r="J79" i="59"/>
  <c r="T25" i="43"/>
  <c r="V25" i="43" s="1"/>
  <c r="N39" i="27"/>
  <c r="K47" i="59"/>
  <c r="G24" i="30"/>
  <c r="AC7" i="46" s="1"/>
  <c r="AB10" i="43"/>
  <c r="J80" i="59"/>
  <c r="Y11" i="27"/>
  <c r="K64" i="59"/>
  <c r="P11" i="43"/>
  <c r="K69" i="59"/>
  <c r="W11" i="27"/>
  <c r="K48" i="59"/>
  <c r="L3" i="26"/>
  <c r="Y13" i="43"/>
  <c r="M32" i="59"/>
  <c r="M33" i="59" s="1"/>
  <c r="G11" i="27"/>
  <c r="I11" i="27" s="1"/>
  <c r="K60" i="59"/>
  <c r="L63" i="59"/>
  <c r="AD10" i="43"/>
  <c r="J96" i="59"/>
  <c r="G24" i="29"/>
  <c r="AB7" i="46" s="1"/>
  <c r="L41" i="59"/>
  <c r="S38" i="43"/>
  <c r="J95" i="59"/>
  <c r="N11" i="27"/>
  <c r="K45" i="59"/>
  <c r="D44" i="25"/>
  <c r="E44" i="26" s="1"/>
  <c r="G5" i="41" s="1"/>
  <c r="O39" i="27"/>
  <c r="K55" i="59"/>
  <c r="AE10" i="43"/>
  <c r="AF10" i="43" s="1"/>
  <c r="J104" i="59"/>
  <c r="AC10" i="43"/>
  <c r="J88" i="59"/>
  <c r="N25" i="27"/>
  <c r="K46" i="59"/>
  <c r="T10" i="43"/>
  <c r="V10" i="43" s="1"/>
  <c r="J101" i="59"/>
  <c r="J76" i="59"/>
  <c r="U37" i="43"/>
  <c r="I105" i="59"/>
  <c r="D39" i="31"/>
  <c r="S4" i="49" s="1"/>
  <c r="J84" i="59"/>
  <c r="A39" i="30"/>
  <c r="A33" i="31"/>
  <c r="A33" i="32" s="1"/>
  <c r="F5" i="48"/>
  <c r="Q9" i="44"/>
  <c r="Q4" i="49"/>
  <c r="V4" i="48"/>
  <c r="U4" i="48"/>
  <c r="G28" i="32"/>
  <c r="T21" i="47" s="1"/>
  <c r="AA6" i="47"/>
  <c r="F30" i="30"/>
  <c r="AC6" i="47" s="1"/>
  <c r="H10" i="35"/>
  <c r="I10" i="35"/>
  <c r="O4" i="41"/>
  <c r="Z6" i="48"/>
  <c r="V6" i="39"/>
  <c r="G36" i="23"/>
  <c r="F36" i="24"/>
  <c r="F36" i="25"/>
  <c r="X6" i="39" s="1"/>
  <c r="N17" i="42"/>
  <c r="D52" i="26"/>
  <c r="P18" i="42" s="1"/>
  <c r="N9" i="37"/>
  <c r="O4" i="50"/>
  <c r="M4" i="41"/>
  <c r="D45" i="28"/>
  <c r="D45" i="31" s="1"/>
  <c r="S4" i="50" s="1"/>
  <c r="E45" i="23"/>
  <c r="E45" i="24" s="1"/>
  <c r="Z9" i="35"/>
  <c r="AA9" i="35"/>
  <c r="W3" i="42"/>
  <c r="V18" i="49"/>
  <c r="U18" i="49"/>
  <c r="Y10" i="45"/>
  <c r="K18" i="22"/>
  <c r="U10" i="36"/>
  <c r="J18" i="23"/>
  <c r="J18" i="25" s="1"/>
  <c r="X10" i="36" s="1"/>
  <c r="H22" i="28"/>
  <c r="P21" i="46"/>
  <c r="G22" i="29"/>
  <c r="G22" i="31"/>
  <c r="S21" i="46" s="1"/>
  <c r="G22" i="30"/>
  <c r="R21" i="46" s="1"/>
  <c r="K4" i="50"/>
  <c r="J4" i="50"/>
  <c r="Z5" i="39"/>
  <c r="AA5" i="39"/>
  <c r="K5" i="48"/>
  <c r="J5" i="48"/>
  <c r="N5" i="39"/>
  <c r="F33" i="26"/>
  <c r="P6" i="39" s="1"/>
  <c r="I8" i="37"/>
  <c r="H8" i="37"/>
  <c r="J49" i="30"/>
  <c r="J49" i="31" s="1"/>
  <c r="K49" i="32" s="1"/>
  <c r="J43" i="31"/>
  <c r="K43" i="32" s="1"/>
  <c r="F3" i="49"/>
  <c r="D38" i="32"/>
  <c r="I34" i="22"/>
  <c r="N22" i="48"/>
  <c r="L22" i="39"/>
  <c r="D47" i="28"/>
  <c r="D47" i="31" s="1"/>
  <c r="S32" i="50" s="1"/>
  <c r="O32" i="50"/>
  <c r="M32" i="41"/>
  <c r="E47" i="23"/>
  <c r="E47" i="24" s="1"/>
  <c r="N33" i="41" s="1"/>
  <c r="R32" i="41"/>
  <c r="Q32" i="41"/>
  <c r="N41" i="43"/>
  <c r="L41" i="27"/>
  <c r="V12" i="27"/>
  <c r="Z12" i="43"/>
  <c r="N38" i="45"/>
  <c r="L38" i="36"/>
  <c r="Q35" i="37"/>
  <c r="R35" i="37"/>
  <c r="D47" i="24"/>
  <c r="N32" i="41" s="1"/>
  <c r="N39" i="44"/>
  <c r="L39" i="35"/>
  <c r="N36" i="47"/>
  <c r="L36" i="38"/>
  <c r="H24" i="28"/>
  <c r="I24" i="28" s="1"/>
  <c r="I24" i="29" s="1"/>
  <c r="AA7" i="46"/>
  <c r="AA7" i="37"/>
  <c r="Z7" i="37"/>
  <c r="M15" i="22"/>
  <c r="N12" i="45"/>
  <c r="L12" i="36"/>
  <c r="I12" i="31"/>
  <c r="AD9" i="44" s="1"/>
  <c r="AA9" i="44"/>
  <c r="I12" i="29"/>
  <c r="O20" i="49"/>
  <c r="M20" i="40"/>
  <c r="G40" i="23"/>
  <c r="H14" i="32"/>
  <c r="I8" i="45" s="1"/>
  <c r="E38" i="24"/>
  <c r="AB8" i="44"/>
  <c r="I12" i="32"/>
  <c r="AE9" i="44" s="1"/>
  <c r="Z4" i="40"/>
  <c r="AA4" i="40"/>
  <c r="L9" i="22"/>
  <c r="N11" i="44"/>
  <c r="L11" i="35"/>
  <c r="J8" i="32"/>
  <c r="I10" i="44" s="1"/>
  <c r="V20" i="46"/>
  <c r="U20" i="46"/>
  <c r="O21" i="48"/>
  <c r="M21" i="39"/>
  <c r="H34" i="23"/>
  <c r="H34" i="25" s="1"/>
  <c r="O22" i="39" s="1"/>
  <c r="F46" i="22"/>
  <c r="N19" i="50"/>
  <c r="L19" i="41"/>
  <c r="E46" i="24"/>
  <c r="E46" i="25"/>
  <c r="O19" i="41" s="1"/>
  <c r="D45" i="24"/>
  <c r="N4" i="41" s="1"/>
  <c r="AB5" i="48"/>
  <c r="D11" i="35"/>
  <c r="K8" i="24"/>
  <c r="K8" i="25"/>
  <c r="F11" i="35" s="1"/>
  <c r="K24" i="22"/>
  <c r="Y10" i="46"/>
  <c r="U10" i="37"/>
  <c r="J24" i="23"/>
  <c r="J24" i="24" s="1"/>
  <c r="F36" i="28"/>
  <c r="AA6" i="48" s="1"/>
  <c r="AA5" i="48"/>
  <c r="N18" i="51"/>
  <c r="L18" i="42"/>
  <c r="D52" i="24"/>
  <c r="N18" i="42" s="1"/>
  <c r="E52" i="22"/>
  <c r="D52" i="25"/>
  <c r="E46" i="28"/>
  <c r="E46" i="29" s="1"/>
  <c r="P18" i="50"/>
  <c r="AA6" i="38"/>
  <c r="Z6" i="38"/>
  <c r="E49" i="30"/>
  <c r="E49" i="31" s="1"/>
  <c r="F49" i="32" s="1"/>
  <c r="E43" i="31"/>
  <c r="F43" i="32" s="1"/>
  <c r="Q6" i="46"/>
  <c r="G21" i="32"/>
  <c r="T7" i="46" s="1"/>
  <c r="H21" i="28"/>
  <c r="P7" i="46"/>
  <c r="G21" i="30"/>
  <c r="R7" i="46" s="1"/>
  <c r="G21" i="29"/>
  <c r="G21" i="31"/>
  <c r="S7" i="46" s="1"/>
  <c r="M49" i="30"/>
  <c r="M49" i="31" s="1"/>
  <c r="M43" i="31"/>
  <c r="G26" i="28"/>
  <c r="J20" i="22"/>
  <c r="C9" i="37"/>
  <c r="I21" i="25"/>
  <c r="O9" i="37" s="1"/>
  <c r="E32" i="30"/>
  <c r="G5" i="48" s="1"/>
  <c r="D6" i="39"/>
  <c r="G32" i="23"/>
  <c r="F32" i="24"/>
  <c r="F32" i="25"/>
  <c r="F6" i="39" s="1"/>
  <c r="E38" i="28"/>
  <c r="E38" i="30" s="1"/>
  <c r="G5" i="49" s="1"/>
  <c r="E4" i="49"/>
  <c r="O31" i="51"/>
  <c r="M31" i="42"/>
  <c r="D53" i="23"/>
  <c r="D53" i="24" s="1"/>
  <c r="Q19" i="49"/>
  <c r="G40" i="22"/>
  <c r="N20" i="49"/>
  <c r="L20" i="40"/>
  <c r="F40" i="24"/>
  <c r="F40" i="25"/>
  <c r="O20" i="40" s="1"/>
  <c r="N10" i="36"/>
  <c r="K15" i="26"/>
  <c r="P11" i="36" s="1"/>
  <c r="D7" i="38"/>
  <c r="AG8" i="44"/>
  <c r="AF8" i="44"/>
  <c r="R5" i="39"/>
  <c r="Q5" i="39"/>
  <c r="Q2" i="51"/>
  <c r="C51" i="32"/>
  <c r="T3" i="51" s="1"/>
  <c r="R19" i="40"/>
  <c r="Q19" i="40"/>
  <c r="F49" i="30"/>
  <c r="F49" i="31" s="1"/>
  <c r="G49" i="32" s="1"/>
  <c r="F43" i="31"/>
  <c r="G43" i="32" s="1"/>
  <c r="W7" i="38"/>
  <c r="I30" i="22"/>
  <c r="Y8" i="47"/>
  <c r="U8" i="38"/>
  <c r="H30" i="23"/>
  <c r="H30" i="25" s="1"/>
  <c r="X8" i="38" s="1"/>
  <c r="K4" i="47"/>
  <c r="J4" i="47"/>
  <c r="K4" i="51"/>
  <c r="J4" i="51"/>
  <c r="E42" i="26"/>
  <c r="Y5" i="40" s="1"/>
  <c r="W4" i="40"/>
  <c r="R6" i="38"/>
  <c r="Q6" i="38"/>
  <c r="I36" i="22"/>
  <c r="Y8" i="48"/>
  <c r="U8" i="39"/>
  <c r="K5" i="49"/>
  <c r="J5" i="49"/>
  <c r="G50" i="22"/>
  <c r="C6" i="42"/>
  <c r="L14" i="22"/>
  <c r="C11" i="36"/>
  <c r="E33" i="31"/>
  <c r="S5" i="48" s="1"/>
  <c r="O6" i="48"/>
  <c r="M6" i="39"/>
  <c r="G33" i="23"/>
  <c r="F33" i="24"/>
  <c r="F33" i="25"/>
  <c r="O6" i="39" s="1"/>
  <c r="K16" i="22"/>
  <c r="N24" i="45"/>
  <c r="L24" i="36"/>
  <c r="E2" i="42"/>
  <c r="C50" i="26"/>
  <c r="G3" i="42" s="1"/>
  <c r="H39" i="22"/>
  <c r="N7" i="49"/>
  <c r="L7" i="40"/>
  <c r="K27" i="22"/>
  <c r="N10" i="47"/>
  <c r="L10" i="38"/>
  <c r="O36" i="46"/>
  <c r="M36" i="37"/>
  <c r="G34" i="25"/>
  <c r="O21" i="39" s="1"/>
  <c r="D38" i="31"/>
  <c r="H4" i="49" s="1"/>
  <c r="Q3" i="41"/>
  <c r="R3" i="41"/>
  <c r="U36" i="44"/>
  <c r="V36" i="44"/>
  <c r="M10" i="22"/>
  <c r="N26" i="44"/>
  <c r="L26" i="35"/>
  <c r="F30" i="29"/>
  <c r="D44" i="26"/>
  <c r="G4" i="41" s="1"/>
  <c r="N33" i="50"/>
  <c r="L33" i="41"/>
  <c r="N32" i="51"/>
  <c r="L32" i="42"/>
  <c r="W7" i="37"/>
  <c r="H24" i="26"/>
  <c r="Y8" i="37" s="1"/>
  <c r="A53" i="30"/>
  <c r="A53" i="31" s="1"/>
  <c r="A53" i="32" s="1"/>
  <c r="A47" i="31"/>
  <c r="A47" i="32" s="1"/>
  <c r="Z4" i="41"/>
  <c r="AA4" i="41"/>
  <c r="I9" i="36"/>
  <c r="H9" i="36"/>
  <c r="J22" i="22"/>
  <c r="N23" i="46"/>
  <c r="L23" i="37"/>
  <c r="AA8" i="36"/>
  <c r="Z8" i="36"/>
  <c r="R24" i="35"/>
  <c r="Q24" i="35"/>
  <c r="R23" i="36"/>
  <c r="Q23" i="36"/>
  <c r="Z10" i="44"/>
  <c r="J12" i="28"/>
  <c r="AA10" i="44" s="1"/>
  <c r="V10" i="35"/>
  <c r="R4" i="40"/>
  <c r="Q4" i="40"/>
  <c r="D48" i="28"/>
  <c r="AA3" i="50"/>
  <c r="C48" i="30"/>
  <c r="AC3" i="50" s="1"/>
  <c r="C48" i="31"/>
  <c r="AD3" i="50" s="1"/>
  <c r="C48" i="29"/>
  <c r="E42" i="28"/>
  <c r="E42" i="30" s="1"/>
  <c r="AC5" i="49" s="1"/>
  <c r="AA4" i="49"/>
  <c r="O22" i="47"/>
  <c r="M22" i="38"/>
  <c r="K8" i="28"/>
  <c r="J8" i="29"/>
  <c r="J8" i="30"/>
  <c r="G10" i="44" s="1"/>
  <c r="K49" i="30"/>
  <c r="K49" i="31" s="1"/>
  <c r="L49" i="32" s="1"/>
  <c r="K43" i="31"/>
  <c r="L43" i="32" s="1"/>
  <c r="V19" i="48"/>
  <c r="U19" i="48"/>
  <c r="C13" i="43"/>
  <c r="C13" i="27"/>
  <c r="N34" i="49"/>
  <c r="L34" i="40"/>
  <c r="Q38" i="35"/>
  <c r="R38" i="35"/>
  <c r="N35" i="48"/>
  <c r="L35" i="39"/>
  <c r="G29" i="26"/>
  <c r="P35" i="38" s="1"/>
  <c r="O34" i="38"/>
  <c r="R34" i="39"/>
  <c r="Q34" i="39"/>
  <c r="H17" i="31"/>
  <c r="S36" i="45" s="1"/>
  <c r="P36" i="45"/>
  <c r="R37" i="35"/>
  <c r="Q37" i="35"/>
  <c r="E39" i="26"/>
  <c r="P5" i="40" s="1"/>
  <c r="N4" i="40"/>
  <c r="O5" i="49"/>
  <c r="M5" i="40"/>
  <c r="F39" i="23"/>
  <c r="E39" i="24"/>
  <c r="N5" i="40" s="1"/>
  <c r="E39" i="25"/>
  <c r="J9" i="28"/>
  <c r="P9" i="44"/>
  <c r="I9" i="30"/>
  <c r="R9" i="44" s="1"/>
  <c r="H28" i="28"/>
  <c r="H28" i="30" s="1"/>
  <c r="R22" i="47" s="1"/>
  <c r="P21" i="47"/>
  <c r="Q17" i="42"/>
  <c r="R17" i="42"/>
  <c r="N10" i="35"/>
  <c r="O7" i="47"/>
  <c r="M7" i="38"/>
  <c r="G27" i="25"/>
  <c r="O7" i="38" s="1"/>
  <c r="G27" i="24"/>
  <c r="H27" i="23"/>
  <c r="N6" i="38"/>
  <c r="G27" i="26"/>
  <c r="P7" i="38" s="1"/>
  <c r="W4" i="41"/>
  <c r="F48" i="22"/>
  <c r="Y5" i="50"/>
  <c r="U5" i="41"/>
  <c r="I3" i="41"/>
  <c r="H3" i="41"/>
  <c r="L15" i="23"/>
  <c r="L15" i="25" s="1"/>
  <c r="O12" i="36" s="1"/>
  <c r="O11" i="45"/>
  <c r="M11" i="36"/>
  <c r="E46" i="26"/>
  <c r="P19" i="41" s="1"/>
  <c r="O18" i="41"/>
  <c r="Q18" i="41"/>
  <c r="R18" i="41"/>
  <c r="K10" i="28"/>
  <c r="P24" i="44"/>
  <c r="J10" i="31"/>
  <c r="S24" i="44" s="1"/>
  <c r="J10" i="29"/>
  <c r="J10" i="30"/>
  <c r="R24" i="44" s="1"/>
  <c r="F4" i="49"/>
  <c r="H18" i="32"/>
  <c r="AE8" i="45" s="1"/>
  <c r="AB7" i="45"/>
  <c r="N21" i="38"/>
  <c r="H28" i="26"/>
  <c r="P22" i="38" s="1"/>
  <c r="R8" i="37"/>
  <c r="Q8" i="37"/>
  <c r="B43" i="31"/>
  <c r="C43" i="32" s="1"/>
  <c r="B49" i="30"/>
  <c r="B49" i="31" s="1"/>
  <c r="C49" i="32" s="1"/>
  <c r="W9" i="37"/>
  <c r="Z9" i="46"/>
  <c r="V9" i="37"/>
  <c r="W8" i="37"/>
  <c r="I24" i="26"/>
  <c r="Y9" i="37" s="1"/>
  <c r="Y7" i="49"/>
  <c r="U7" i="40"/>
  <c r="H42" i="22"/>
  <c r="H20" i="24"/>
  <c r="E5" i="39"/>
  <c r="F32" i="26"/>
  <c r="G6" i="39" s="1"/>
  <c r="F26" i="31"/>
  <c r="H6" i="47" s="1"/>
  <c r="C8" i="38"/>
  <c r="H26" i="23"/>
  <c r="H26" i="25" s="1"/>
  <c r="F8" i="38" s="1"/>
  <c r="I26" i="22"/>
  <c r="J12" i="24"/>
  <c r="Y11" i="44"/>
  <c r="K12" i="23"/>
  <c r="K12" i="24" s="1"/>
  <c r="L12" i="22"/>
  <c r="U11" i="35"/>
  <c r="W9" i="35"/>
  <c r="J12" i="26"/>
  <c r="Y10" i="35" s="1"/>
  <c r="I22" i="23"/>
  <c r="I22" i="24" s="1"/>
  <c r="O22" i="46"/>
  <c r="M22" i="37"/>
  <c r="W6" i="38"/>
  <c r="G30" i="26"/>
  <c r="Y7" i="38" s="1"/>
  <c r="J8" i="31"/>
  <c r="H10" i="44" s="1"/>
  <c r="H28" i="25"/>
  <c r="O22" i="38" s="1"/>
  <c r="J28" i="22"/>
  <c r="N23" i="47"/>
  <c r="L23" i="38"/>
  <c r="I28" i="23"/>
  <c r="I28" i="24" s="1"/>
  <c r="Z9" i="45"/>
  <c r="V9" i="36"/>
  <c r="I18" i="28"/>
  <c r="I18" i="30" s="1"/>
  <c r="AC9" i="45" s="1"/>
  <c r="I32" i="22"/>
  <c r="C8" i="39"/>
  <c r="G27" i="28"/>
  <c r="G27" i="29" s="1"/>
  <c r="P6" i="47"/>
  <c r="AB2" i="51"/>
  <c r="C54" i="32"/>
  <c r="AE3" i="51" s="1"/>
  <c r="D4" i="50"/>
  <c r="D4" i="41"/>
  <c r="E44" i="23"/>
  <c r="E44" i="24" s="1"/>
  <c r="J15" i="28"/>
  <c r="P9" i="45"/>
  <c r="I15" i="30"/>
  <c r="R9" i="45" s="1"/>
  <c r="I15" i="29"/>
  <c r="I15" i="31"/>
  <c r="S9" i="45" s="1"/>
  <c r="D51" i="23"/>
  <c r="O3" i="51"/>
  <c r="M3" i="42"/>
  <c r="C51" i="28"/>
  <c r="P3" i="51" s="1"/>
  <c r="C51" i="24"/>
  <c r="C51" i="25"/>
  <c r="O3" i="42" s="1"/>
  <c r="P33" i="48"/>
  <c r="E35" i="30"/>
  <c r="R33" i="48" s="1"/>
  <c r="E35" i="31"/>
  <c r="S33" i="48" s="1"/>
  <c r="E35" i="29"/>
  <c r="D41" i="32"/>
  <c r="T32" i="49" s="1"/>
  <c r="Q31" i="49"/>
  <c r="V3" i="50"/>
  <c r="U3" i="50"/>
  <c r="F26" i="30"/>
  <c r="G6" i="47" s="1"/>
  <c r="Z3" i="41"/>
  <c r="AA3" i="41"/>
  <c r="Z7" i="47"/>
  <c r="V7" i="38"/>
  <c r="G30" i="28"/>
  <c r="F30" i="31"/>
  <c r="AD6" i="47" s="1"/>
  <c r="K4" i="48"/>
  <c r="J4" i="48"/>
  <c r="V20" i="47"/>
  <c r="U20" i="47"/>
  <c r="Q22" i="37"/>
  <c r="R22" i="37"/>
  <c r="O18" i="51"/>
  <c r="M18" i="42"/>
  <c r="D52" i="28"/>
  <c r="E52" i="23"/>
  <c r="D42" i="31"/>
  <c r="AD4" i="49" s="1"/>
  <c r="H6" i="38"/>
  <c r="I6" i="38"/>
  <c r="K5" i="50"/>
  <c r="J5" i="50"/>
  <c r="J14" i="25"/>
  <c r="F10" i="36" s="1"/>
  <c r="I16" i="25"/>
  <c r="O23" i="36" s="1"/>
  <c r="F35" i="28"/>
  <c r="O34" i="48"/>
  <c r="M34" i="39"/>
  <c r="G35" i="23"/>
  <c r="G35" i="25" s="1"/>
  <c r="O35" i="39" s="1"/>
  <c r="E41" i="28"/>
  <c r="P32" i="49"/>
  <c r="D41" i="29"/>
  <c r="D41" i="31"/>
  <c r="S32" i="49" s="1"/>
  <c r="D41" i="30"/>
  <c r="R32" i="49" s="1"/>
  <c r="F26" i="29"/>
  <c r="G28" i="31"/>
  <c r="S21" i="47" s="1"/>
  <c r="G34" i="24"/>
  <c r="C45" i="30"/>
  <c r="R3" i="50" s="1"/>
  <c r="I9" i="31"/>
  <c r="S9" i="44" s="1"/>
  <c r="K5" i="31"/>
  <c r="P39" i="43"/>
  <c r="N37" i="46"/>
  <c r="L37" i="37"/>
  <c r="G29" i="25"/>
  <c r="O35" i="38" s="1"/>
  <c r="O35" i="47"/>
  <c r="M35" i="38"/>
  <c r="F29" i="32"/>
  <c r="T34" i="47" s="1"/>
  <c r="R33" i="47"/>
  <c r="G38" i="22"/>
  <c r="C6" i="40"/>
  <c r="H20" i="28"/>
  <c r="H20" i="30" s="1"/>
  <c r="G8" i="46" s="1"/>
  <c r="G20" i="29"/>
  <c r="G20" i="31"/>
  <c r="H7" i="46" s="1"/>
  <c r="G20" i="30"/>
  <c r="G7" i="46" s="1"/>
  <c r="I7" i="37"/>
  <c r="H7" i="37"/>
  <c r="U8" i="45"/>
  <c r="V8" i="45"/>
  <c r="D5" i="49"/>
  <c r="D5" i="40"/>
  <c r="F38" i="23"/>
  <c r="U8" i="44"/>
  <c r="V8" i="44"/>
  <c r="J21" i="23"/>
  <c r="J21" i="24" s="1"/>
  <c r="O9" i="46"/>
  <c r="M9" i="37"/>
  <c r="Q32" i="48"/>
  <c r="E35" i="32"/>
  <c r="T33" i="48" s="1"/>
  <c r="AB6" i="46"/>
  <c r="G24" i="32"/>
  <c r="AE7" i="46" s="1"/>
  <c r="K14" i="23"/>
  <c r="K14" i="24" s="1"/>
  <c r="D10" i="36"/>
  <c r="R21" i="37"/>
  <c r="Q21" i="37"/>
  <c r="D42" i="29"/>
  <c r="AB5" i="47"/>
  <c r="F30" i="32"/>
  <c r="AE6" i="47" s="1"/>
  <c r="I20" i="23"/>
  <c r="D8" i="37"/>
  <c r="AA8" i="45"/>
  <c r="H18" i="30"/>
  <c r="AC8" i="45" s="1"/>
  <c r="H18" i="29"/>
  <c r="H18" i="31"/>
  <c r="AD8" i="45" s="1"/>
  <c r="D3" i="51"/>
  <c r="D3" i="42"/>
  <c r="C50" i="28"/>
  <c r="E3" i="51" s="1"/>
  <c r="D50" i="23"/>
  <c r="C50" i="25"/>
  <c r="F3" i="42" s="1"/>
  <c r="C50" i="24"/>
  <c r="R22" i="36"/>
  <c r="Q22" i="36"/>
  <c r="H5" i="39"/>
  <c r="I5" i="39"/>
  <c r="D12" i="43"/>
  <c r="D12" i="27"/>
  <c r="N27" i="43"/>
  <c r="L27" i="27"/>
  <c r="L5" i="24"/>
  <c r="O40" i="43"/>
  <c r="M40" i="27"/>
  <c r="K6" i="29"/>
  <c r="AA11" i="43"/>
  <c r="K6" i="31"/>
  <c r="M3" i="23"/>
  <c r="M37" i="59" s="1"/>
  <c r="N13" i="43"/>
  <c r="L13" i="27"/>
  <c r="M4" i="23"/>
  <c r="M38" i="59" s="1"/>
  <c r="O26" i="43"/>
  <c r="M26" i="27"/>
  <c r="K2" i="32"/>
  <c r="I11" i="43" s="1"/>
  <c r="O12" i="43"/>
  <c r="M12" i="27"/>
  <c r="N37" i="36"/>
  <c r="D47" i="25"/>
  <c r="G23" i="32"/>
  <c r="T35" i="46" s="1"/>
  <c r="F29" i="31"/>
  <c r="S34" i="47" s="1"/>
  <c r="P34" i="47"/>
  <c r="O37" i="45"/>
  <c r="M37" i="36"/>
  <c r="N11" i="36"/>
  <c r="E39" i="28"/>
  <c r="E39" i="30" s="1"/>
  <c r="R5" i="49" s="1"/>
  <c r="P4" i="49"/>
  <c r="V23" i="44"/>
  <c r="U23" i="44"/>
  <c r="AG3" i="50"/>
  <c r="AF3" i="50"/>
  <c r="I14" i="28"/>
  <c r="H14" i="29"/>
  <c r="H14" i="31"/>
  <c r="H8" i="45" s="1"/>
  <c r="H14" i="30"/>
  <c r="G8" i="45" s="1"/>
  <c r="E38" i="25"/>
  <c r="F5" i="40" s="1"/>
  <c r="K9" i="23"/>
  <c r="O10" i="44"/>
  <c r="M10" i="35"/>
  <c r="J9" i="25"/>
  <c r="O10" i="35" s="1"/>
  <c r="Q19" i="48"/>
  <c r="F34" i="32"/>
  <c r="T20" i="48" s="1"/>
  <c r="G34" i="28"/>
  <c r="P20" i="48"/>
  <c r="F34" i="30"/>
  <c r="R20" i="48" s="1"/>
  <c r="F34" i="29"/>
  <c r="F34" i="31"/>
  <c r="S20" i="48" s="1"/>
  <c r="V6" i="46"/>
  <c r="U6" i="46"/>
  <c r="U32" i="48"/>
  <c r="V32" i="48"/>
  <c r="I16" i="28"/>
  <c r="I16" i="29" s="1"/>
  <c r="P22" i="45"/>
  <c r="H16" i="31"/>
  <c r="S22" i="45" s="1"/>
  <c r="H16" i="30"/>
  <c r="R22" i="45" s="1"/>
  <c r="H16" i="29"/>
  <c r="C49" i="30"/>
  <c r="C49" i="31" s="1"/>
  <c r="D49" i="32" s="1"/>
  <c r="C43" i="31"/>
  <c r="D43" i="32" s="1"/>
  <c r="F32" i="28"/>
  <c r="F32" i="29" s="1"/>
  <c r="E5" i="48"/>
  <c r="G26" i="26"/>
  <c r="G7" i="38" s="1"/>
  <c r="E6" i="38"/>
  <c r="F45" i="22"/>
  <c r="N5" i="50"/>
  <c r="L5" i="41"/>
  <c r="D45" i="26"/>
  <c r="P4" i="41" s="1"/>
  <c r="N3" i="41"/>
  <c r="W5" i="39"/>
  <c r="F36" i="26"/>
  <c r="Y6" i="39" s="1"/>
  <c r="M8" i="22"/>
  <c r="C12" i="44"/>
  <c r="C12" i="35"/>
  <c r="L8" i="23"/>
  <c r="N24" i="35"/>
  <c r="K10" i="26"/>
  <c r="P25" i="35" s="1"/>
  <c r="L10" i="23"/>
  <c r="O25" i="44"/>
  <c r="M25" i="35"/>
  <c r="K10" i="25"/>
  <c r="O25" i="35" s="1"/>
  <c r="K10" i="24"/>
  <c r="Q5" i="47"/>
  <c r="F27" i="32"/>
  <c r="T6" i="47" s="1"/>
  <c r="I24" i="25"/>
  <c r="X9" i="37" s="1"/>
  <c r="H20" i="25"/>
  <c r="F8" i="37" s="1"/>
  <c r="K21" i="22"/>
  <c r="N10" i="46"/>
  <c r="L10" i="37"/>
  <c r="E32" i="31"/>
  <c r="H5" i="48" s="1"/>
  <c r="N19" i="40"/>
  <c r="F40" i="26"/>
  <c r="P20" i="40" s="1"/>
  <c r="L49" i="30"/>
  <c r="L49" i="31" s="1"/>
  <c r="M49" i="32" s="1"/>
  <c r="L43" i="31"/>
  <c r="M43" i="32" s="1"/>
  <c r="H49" i="30"/>
  <c r="H49" i="31" s="1"/>
  <c r="I49" i="32" s="1"/>
  <c r="H43" i="31"/>
  <c r="I43" i="32" s="1"/>
  <c r="E54" i="22"/>
  <c r="Y4" i="51"/>
  <c r="U4" i="42"/>
  <c r="Q20" i="46"/>
  <c r="G22" i="32"/>
  <c r="T21" i="46" s="1"/>
  <c r="Z4" i="50"/>
  <c r="V4" i="41"/>
  <c r="E48" i="23"/>
  <c r="E48" i="24" s="1"/>
  <c r="I33" i="22"/>
  <c r="N8" i="48"/>
  <c r="L8" i="39"/>
  <c r="F51" i="22"/>
  <c r="N5" i="51"/>
  <c r="L5" i="42"/>
  <c r="N9" i="35"/>
  <c r="J9" i="26"/>
  <c r="P10" i="35" s="1"/>
  <c r="H28" i="24"/>
  <c r="G28" i="29"/>
  <c r="I18" i="24"/>
  <c r="O19" i="50"/>
  <c r="M19" i="41"/>
  <c r="F46" i="23"/>
  <c r="F33" i="28"/>
  <c r="F33" i="31" s="1"/>
  <c r="S6" i="48" s="1"/>
  <c r="P5" i="48"/>
  <c r="F3" i="50"/>
  <c r="D44" i="28"/>
  <c r="D44" i="30" s="1"/>
  <c r="G4" i="50" s="1"/>
  <c r="E3" i="50"/>
  <c r="C44" i="30"/>
  <c r="G3" i="50" s="1"/>
  <c r="F4" i="48"/>
  <c r="E32" i="32"/>
  <c r="Q8" i="45"/>
  <c r="I15" i="32"/>
  <c r="T9" i="45" s="1"/>
  <c r="V35" i="45"/>
  <c r="U35" i="45"/>
  <c r="Q21" i="39"/>
  <c r="R21" i="39"/>
  <c r="A38" i="30"/>
  <c r="A32" i="31"/>
  <c r="A32" i="32" s="1"/>
  <c r="D54" i="23"/>
  <c r="Z3" i="51"/>
  <c r="V3" i="42"/>
  <c r="C54" i="28"/>
  <c r="C54" i="25"/>
  <c r="X3" i="42" s="1"/>
  <c r="E38" i="26"/>
  <c r="G5" i="40" s="1"/>
  <c r="E4" i="40"/>
  <c r="K4" i="49"/>
  <c r="J4" i="49"/>
  <c r="F40" i="28"/>
  <c r="F40" i="30" s="1"/>
  <c r="R20" i="49" s="1"/>
  <c r="P19" i="49"/>
  <c r="E10" i="35"/>
  <c r="K8" i="26"/>
  <c r="G11" i="35" s="1"/>
  <c r="Q16" i="51"/>
  <c r="C52" i="32"/>
  <c r="T17" i="51" s="1"/>
  <c r="D42" i="30"/>
  <c r="AC4" i="49" s="1"/>
  <c r="Z5" i="49"/>
  <c r="V5" i="40"/>
  <c r="F42" i="23"/>
  <c r="E42" i="25"/>
  <c r="X5" i="40" s="1"/>
  <c r="E42" i="31"/>
  <c r="AD5" i="49" s="1"/>
  <c r="E42" i="24"/>
  <c r="G28" i="30"/>
  <c r="R21" i="47" s="1"/>
  <c r="K5" i="47"/>
  <c r="J5" i="47"/>
  <c r="J5" i="51"/>
  <c r="K5" i="51"/>
  <c r="J14" i="24"/>
  <c r="R9" i="35"/>
  <c r="Q9" i="35"/>
  <c r="R21" i="38"/>
  <c r="Q21" i="38"/>
  <c r="AG5" i="47"/>
  <c r="AF5" i="47"/>
  <c r="J16" i="23"/>
  <c r="J16" i="24" s="1"/>
  <c r="O23" i="45"/>
  <c r="M23" i="36"/>
  <c r="I16" i="24"/>
  <c r="C54" i="26"/>
  <c r="Y3" i="42" s="1"/>
  <c r="C50" i="32"/>
  <c r="F44" i="22"/>
  <c r="C5" i="50"/>
  <c r="C5" i="41"/>
  <c r="O33" i="49"/>
  <c r="M33" i="40"/>
  <c r="F41" i="23"/>
  <c r="F41" i="24" s="1"/>
  <c r="N34" i="40" s="1"/>
  <c r="I12" i="30"/>
  <c r="AC9" i="44" s="1"/>
  <c r="E36" i="32"/>
  <c r="AE5" i="48" s="1"/>
  <c r="P31" i="50"/>
  <c r="C47" i="31"/>
  <c r="O38" i="44"/>
  <c r="M38" i="35"/>
  <c r="L6" i="28"/>
  <c r="L72" i="59" s="1"/>
  <c r="L6" i="24"/>
  <c r="L6" i="25"/>
  <c r="U13" i="27"/>
  <c r="L5" i="25"/>
  <c r="H17" i="29"/>
  <c r="Q36" i="45" s="1"/>
  <c r="G29" i="24"/>
  <c r="N35" i="38" s="1"/>
  <c r="I17" i="28"/>
  <c r="P37" i="45" s="1"/>
  <c r="H17" i="30"/>
  <c r="I11" i="32"/>
  <c r="T37" i="44" s="1"/>
  <c r="K11" i="26"/>
  <c r="P39" i="35" s="1"/>
  <c r="K17" i="22"/>
  <c r="H35" i="22"/>
  <c r="J23" i="22"/>
  <c r="G41" i="22"/>
  <c r="J17" i="23"/>
  <c r="J11" i="28"/>
  <c r="P38" i="44" s="1"/>
  <c r="I11" i="30"/>
  <c r="R37" i="44" s="1"/>
  <c r="I11" i="29"/>
  <c r="Q37" i="44" s="1"/>
  <c r="I11" i="31"/>
  <c r="S37" i="44" s="1"/>
  <c r="I23" i="23"/>
  <c r="I23" i="26"/>
  <c r="P37" i="37" s="1"/>
  <c r="G29" i="28"/>
  <c r="P35" i="47" s="1"/>
  <c r="F47" i="22"/>
  <c r="E53" i="22"/>
  <c r="I29" i="22"/>
  <c r="H29" i="23"/>
  <c r="L11" i="22"/>
  <c r="H23" i="28"/>
  <c r="P36" i="46" s="1"/>
  <c r="G23" i="30"/>
  <c r="R35" i="46" s="1"/>
  <c r="G23" i="31"/>
  <c r="S35" i="46" s="1"/>
  <c r="G23" i="29"/>
  <c r="Q35" i="46" s="1"/>
  <c r="W7" i="26"/>
  <c r="X22" i="23"/>
  <c r="Y22" i="22"/>
  <c r="L2" i="26"/>
  <c r="L6" i="26"/>
  <c r="K6" i="32"/>
  <c r="K5" i="30"/>
  <c r="L5" i="28"/>
  <c r="L71" i="59" s="1"/>
  <c r="K5" i="29"/>
  <c r="M2" i="23"/>
  <c r="M36" i="59" s="1"/>
  <c r="K2" i="30"/>
  <c r="G11" i="43" s="1"/>
  <c r="K2" i="29"/>
  <c r="L4" i="25"/>
  <c r="K5" i="32"/>
  <c r="K2" i="31"/>
  <c r="H11" i="43" s="1"/>
  <c r="L4" i="28"/>
  <c r="L70" i="59" s="1"/>
  <c r="L4" i="24"/>
  <c r="K4" i="29"/>
  <c r="L2" i="24"/>
  <c r="M6" i="23"/>
  <c r="K3" i="32"/>
  <c r="L2" i="25"/>
  <c r="K4" i="31"/>
  <c r="L2" i="28"/>
  <c r="L68" i="59" s="1"/>
  <c r="L4" i="26"/>
  <c r="L3" i="28"/>
  <c r="K3" i="29"/>
  <c r="K3" i="31"/>
  <c r="K3" i="30"/>
  <c r="K4" i="30"/>
  <c r="M5" i="23"/>
  <c r="M39" i="59" s="1"/>
  <c r="U19" i="49" l="1"/>
  <c r="I6" i="49"/>
  <c r="I6" i="51"/>
  <c r="I6" i="50"/>
  <c r="I6" i="48"/>
  <c r="I6" i="47"/>
  <c r="J7" i="46"/>
  <c r="K7" i="46"/>
  <c r="J8" i="45"/>
  <c r="K8" i="45"/>
  <c r="AF4" i="49"/>
  <c r="K11" i="43"/>
  <c r="J11" i="43"/>
  <c r="J10" i="44"/>
  <c r="K10" i="44"/>
  <c r="AG10" i="43"/>
  <c r="I10" i="36"/>
  <c r="R33" i="40"/>
  <c r="O12" i="27"/>
  <c r="F41" i="26"/>
  <c r="P34" i="40" s="1"/>
  <c r="R3" i="42"/>
  <c r="Q36" i="37"/>
  <c r="G35" i="26"/>
  <c r="P35" i="39" s="1"/>
  <c r="U24" i="44"/>
  <c r="D47" i="29"/>
  <c r="Q32" i="50" s="1"/>
  <c r="E48" i="26"/>
  <c r="Y5" i="41" s="1"/>
  <c r="Z5" i="41" s="1"/>
  <c r="J12" i="31"/>
  <c r="AD10" i="44" s="1"/>
  <c r="AA9" i="36"/>
  <c r="R31" i="42"/>
  <c r="L15" i="26"/>
  <c r="P12" i="36" s="1"/>
  <c r="R12" i="36" s="1"/>
  <c r="H11" i="27"/>
  <c r="I22" i="26"/>
  <c r="P23" i="37" s="1"/>
  <c r="Q23" i="37" s="1"/>
  <c r="M39" i="35"/>
  <c r="K11" i="24"/>
  <c r="N39" i="35" s="1"/>
  <c r="O39" i="44"/>
  <c r="V36" i="45"/>
  <c r="D53" i="26"/>
  <c r="P32" i="42" s="1"/>
  <c r="Q32" i="42" s="1"/>
  <c r="V22" i="45"/>
  <c r="J12" i="29"/>
  <c r="AB10" i="44" s="1"/>
  <c r="M4" i="24"/>
  <c r="M46" i="59" s="1"/>
  <c r="M4" i="25"/>
  <c r="A48" i="30"/>
  <c r="A42" i="31"/>
  <c r="A42" i="32" s="1"/>
  <c r="L6" i="30"/>
  <c r="AC12" i="43" s="1"/>
  <c r="U18" i="50"/>
  <c r="AC11" i="43"/>
  <c r="U4" i="49"/>
  <c r="V38" i="43"/>
  <c r="R9" i="37"/>
  <c r="F40" i="32"/>
  <c r="T20" i="49" s="1"/>
  <c r="V31" i="51"/>
  <c r="E45" i="25"/>
  <c r="O5" i="41" s="1"/>
  <c r="U9" i="44"/>
  <c r="G27" i="32"/>
  <c r="T7" i="47" s="1"/>
  <c r="V7" i="47" s="1"/>
  <c r="H30" i="26"/>
  <c r="Y8" i="38" s="1"/>
  <c r="Z8" i="38" s="1"/>
  <c r="J21" i="25"/>
  <c r="O10" i="37" s="1"/>
  <c r="J17" i="26"/>
  <c r="P38" i="36" s="1"/>
  <c r="Q38" i="36" s="1"/>
  <c r="L6" i="29"/>
  <c r="AB12" i="43" s="1"/>
  <c r="J105" i="59"/>
  <c r="U25" i="43"/>
  <c r="H28" i="29"/>
  <c r="Q22" i="47" s="1"/>
  <c r="U5" i="48"/>
  <c r="F36" i="32"/>
  <c r="AE6" i="48" s="1"/>
  <c r="AG6" i="48" s="1"/>
  <c r="E46" i="32"/>
  <c r="T19" i="50" s="1"/>
  <c r="V19" i="50" s="1"/>
  <c r="M3" i="26"/>
  <c r="P13" i="27" s="1"/>
  <c r="R13" i="27" s="1"/>
  <c r="L4" i="31"/>
  <c r="S26" i="43" s="1"/>
  <c r="L5" i="29"/>
  <c r="L79" i="59" s="1"/>
  <c r="E38" i="32"/>
  <c r="H28" i="31"/>
  <c r="S22" i="47" s="1"/>
  <c r="F4" i="41"/>
  <c r="Q39" i="27"/>
  <c r="G35" i="24"/>
  <c r="N35" i="39" s="1"/>
  <c r="E7" i="38"/>
  <c r="D53" i="32"/>
  <c r="T32" i="51" s="1"/>
  <c r="U32" i="51" s="1"/>
  <c r="M6" i="26"/>
  <c r="Y13" i="27" s="1"/>
  <c r="AA13" i="27" s="1"/>
  <c r="H30" i="24"/>
  <c r="W8" i="38" s="1"/>
  <c r="F33" i="32"/>
  <c r="T6" i="48" s="1"/>
  <c r="U6" i="48" s="1"/>
  <c r="A46" i="30"/>
  <c r="A40" i="31"/>
  <c r="A40" i="32" s="1"/>
  <c r="D52" i="32"/>
  <c r="T18" i="51" s="1"/>
  <c r="V18" i="51" s="1"/>
  <c r="Q40" i="27"/>
  <c r="H26" i="24"/>
  <c r="U10" i="43"/>
  <c r="R37" i="36"/>
  <c r="C50" i="29"/>
  <c r="F3" i="51" s="1"/>
  <c r="G29" i="32"/>
  <c r="T35" i="47" s="1"/>
  <c r="V35" i="47" s="1"/>
  <c r="D45" i="30"/>
  <c r="R4" i="50" s="1"/>
  <c r="H24" i="32"/>
  <c r="AE8" i="46" s="1"/>
  <c r="AF8" i="46" s="1"/>
  <c r="K65" i="59"/>
  <c r="Q25" i="43"/>
  <c r="K78" i="59"/>
  <c r="F32" i="31"/>
  <c r="H6" i="48" s="1"/>
  <c r="D44" i="31"/>
  <c r="H4" i="50" s="1"/>
  <c r="F12" i="27"/>
  <c r="L52" i="59"/>
  <c r="F41" i="25"/>
  <c r="O34" i="40" s="1"/>
  <c r="AD11" i="43"/>
  <c r="K96" i="59"/>
  <c r="C50" i="30"/>
  <c r="G3" i="51" s="1"/>
  <c r="S39" i="43"/>
  <c r="K95" i="59"/>
  <c r="K9" i="26"/>
  <c r="P11" i="35" s="1"/>
  <c r="R11" i="35" s="1"/>
  <c r="F32" i="32"/>
  <c r="O26" i="27"/>
  <c r="L54" i="59"/>
  <c r="Q39" i="43"/>
  <c r="K79" i="59"/>
  <c r="X12" i="27"/>
  <c r="L56" i="59"/>
  <c r="R25" i="43"/>
  <c r="K86" i="59"/>
  <c r="O40" i="27"/>
  <c r="L55" i="59"/>
  <c r="R11" i="43"/>
  <c r="K85" i="59"/>
  <c r="Y12" i="27"/>
  <c r="AA12" i="27" s="1"/>
  <c r="L64" i="59"/>
  <c r="W12" i="27"/>
  <c r="L48" i="59"/>
  <c r="AB11" i="43"/>
  <c r="K80" i="59"/>
  <c r="I16" i="31"/>
  <c r="S23" i="45" s="1"/>
  <c r="K73" i="59"/>
  <c r="E12" i="27"/>
  <c r="L44" i="59"/>
  <c r="T39" i="43"/>
  <c r="V39" i="43" s="1"/>
  <c r="K103" i="59"/>
  <c r="K100" i="59"/>
  <c r="S11" i="43"/>
  <c r="K93" i="59"/>
  <c r="N26" i="27"/>
  <c r="L46" i="59"/>
  <c r="G12" i="27"/>
  <c r="I12" i="27" s="1"/>
  <c r="L60" i="59"/>
  <c r="K12" i="25"/>
  <c r="X11" i="35" s="1"/>
  <c r="E48" i="25"/>
  <c r="X5" i="41" s="1"/>
  <c r="J24" i="25"/>
  <c r="X10" i="37" s="1"/>
  <c r="Q11" i="43"/>
  <c r="K77" i="59"/>
  <c r="T11" i="43"/>
  <c r="V11" i="43" s="1"/>
  <c r="K101" i="59"/>
  <c r="R39" i="43"/>
  <c r="K87" i="59"/>
  <c r="AA11" i="27"/>
  <c r="Z11" i="27"/>
  <c r="Z13" i="43"/>
  <c r="M40" i="59"/>
  <c r="M41" i="59" s="1"/>
  <c r="N40" i="27"/>
  <c r="L47" i="59"/>
  <c r="E46" i="30"/>
  <c r="R19" i="50" s="1"/>
  <c r="J18" i="24"/>
  <c r="W10" i="36" s="1"/>
  <c r="E39" i="32"/>
  <c r="T5" i="49" s="1"/>
  <c r="U5" i="49" s="1"/>
  <c r="S25" i="43"/>
  <c r="K94" i="59"/>
  <c r="AE11" i="43"/>
  <c r="AG11" i="43" s="1"/>
  <c r="K104" i="59"/>
  <c r="P12" i="43"/>
  <c r="L69" i="59"/>
  <c r="L73" i="59" s="1"/>
  <c r="K76" i="59"/>
  <c r="P26" i="27"/>
  <c r="R26" i="27" s="1"/>
  <c r="L62" i="59"/>
  <c r="K92" i="59"/>
  <c r="K84" i="59"/>
  <c r="J21" i="26"/>
  <c r="P10" i="37" s="1"/>
  <c r="R10" i="37" s="1"/>
  <c r="P12" i="27"/>
  <c r="L61" i="59"/>
  <c r="A45" i="30"/>
  <c r="A39" i="31"/>
  <c r="A39" i="32" s="1"/>
  <c r="Q23" i="45"/>
  <c r="Q7" i="47"/>
  <c r="W5" i="41"/>
  <c r="M2" i="24"/>
  <c r="M44" i="59" s="1"/>
  <c r="D13" i="43"/>
  <c r="D13" i="27"/>
  <c r="N32" i="42"/>
  <c r="AF5" i="48"/>
  <c r="AG5" i="48"/>
  <c r="K14" i="26"/>
  <c r="G11" i="36" s="1"/>
  <c r="E10" i="36"/>
  <c r="V17" i="51"/>
  <c r="U17" i="51"/>
  <c r="Z4" i="51"/>
  <c r="V4" i="42"/>
  <c r="E54" i="23"/>
  <c r="E54" i="24" s="1"/>
  <c r="J33" i="22"/>
  <c r="N9" i="48"/>
  <c r="L9" i="39"/>
  <c r="M10" i="23"/>
  <c r="O26" i="44"/>
  <c r="M26" i="35"/>
  <c r="L10" i="24"/>
  <c r="L10" i="25"/>
  <c r="O26" i="35" s="1"/>
  <c r="H7" i="38"/>
  <c r="I7" i="38"/>
  <c r="H34" i="28"/>
  <c r="H34" i="29" s="1"/>
  <c r="P21" i="48"/>
  <c r="G34" i="29"/>
  <c r="O13" i="43"/>
  <c r="M13" i="27"/>
  <c r="P34" i="48"/>
  <c r="F35" i="30"/>
  <c r="R34" i="48" s="1"/>
  <c r="F35" i="29"/>
  <c r="F35" i="31"/>
  <c r="S34" i="48" s="1"/>
  <c r="E52" i="28"/>
  <c r="E52" i="31" s="1"/>
  <c r="S19" i="51" s="1"/>
  <c r="P18" i="51"/>
  <c r="W11" i="35"/>
  <c r="I6" i="39"/>
  <c r="H6" i="39"/>
  <c r="F40" i="31"/>
  <c r="S20" i="49" s="1"/>
  <c r="U7" i="46"/>
  <c r="V7" i="46"/>
  <c r="J12" i="32"/>
  <c r="AE10" i="44" s="1"/>
  <c r="AB9" i="44"/>
  <c r="N13" i="45"/>
  <c r="L13" i="36"/>
  <c r="E47" i="28"/>
  <c r="P33" i="50" s="1"/>
  <c r="O33" i="50"/>
  <c r="M33" i="41"/>
  <c r="F47" i="23"/>
  <c r="F47" i="25" s="1"/>
  <c r="O34" i="41" s="1"/>
  <c r="Q21" i="46"/>
  <c r="H22" i="32"/>
  <c r="T22" i="46" s="1"/>
  <c r="Z7" i="48"/>
  <c r="V7" i="39"/>
  <c r="H36" i="23"/>
  <c r="G36" i="28"/>
  <c r="G36" i="30" s="1"/>
  <c r="AC7" i="48" s="1"/>
  <c r="G36" i="25"/>
  <c r="X7" i="39" s="1"/>
  <c r="G36" i="24"/>
  <c r="AB9" i="46"/>
  <c r="M3" i="24"/>
  <c r="M45" i="59" s="1"/>
  <c r="L2" i="31"/>
  <c r="E12" i="43"/>
  <c r="D53" i="25"/>
  <c r="O32" i="42" s="1"/>
  <c r="N33" i="51"/>
  <c r="L33" i="42"/>
  <c r="R34" i="40"/>
  <c r="Q34" i="40"/>
  <c r="Q37" i="37"/>
  <c r="R37" i="37"/>
  <c r="N35" i="49"/>
  <c r="L35" i="40"/>
  <c r="R35" i="39"/>
  <c r="Q35" i="39"/>
  <c r="L6" i="31"/>
  <c r="AA12" i="43"/>
  <c r="E44" i="25"/>
  <c r="F5" i="41" s="1"/>
  <c r="N23" i="36"/>
  <c r="J16" i="26"/>
  <c r="P24" i="36" s="1"/>
  <c r="I5" i="40"/>
  <c r="H5" i="40"/>
  <c r="D54" i="28"/>
  <c r="D54" i="30" s="1"/>
  <c r="AC4" i="51" s="1"/>
  <c r="AA3" i="51"/>
  <c r="C54" i="29"/>
  <c r="C54" i="30"/>
  <c r="AC3" i="51" s="1"/>
  <c r="C54" i="31"/>
  <c r="AD3" i="51" s="1"/>
  <c r="A44" i="30"/>
  <c r="A38" i="31"/>
  <c r="A38" i="32" s="1"/>
  <c r="V9" i="45"/>
  <c r="U9" i="45"/>
  <c r="G33" i="28"/>
  <c r="G33" i="31" s="1"/>
  <c r="S7" i="48" s="1"/>
  <c r="P6" i="48"/>
  <c r="N22" i="38"/>
  <c r="I28" i="26"/>
  <c r="P23" i="38" s="1"/>
  <c r="R25" i="35"/>
  <c r="Q25" i="35"/>
  <c r="D12" i="44"/>
  <c r="D12" i="35"/>
  <c r="L8" i="25"/>
  <c r="F12" i="35" s="1"/>
  <c r="L8" i="24"/>
  <c r="N5" i="41"/>
  <c r="Q20" i="48"/>
  <c r="G34" i="32"/>
  <c r="T21" i="48" s="1"/>
  <c r="V20" i="48"/>
  <c r="U20" i="48"/>
  <c r="J14" i="28"/>
  <c r="I14" i="30"/>
  <c r="G9" i="45" s="1"/>
  <c r="I14" i="29"/>
  <c r="I14" i="31"/>
  <c r="H9" i="45" s="1"/>
  <c r="F39" i="28"/>
  <c r="F39" i="29" s="1"/>
  <c r="P5" i="49"/>
  <c r="L6" i="32"/>
  <c r="D50" i="26"/>
  <c r="G4" i="42" s="1"/>
  <c r="E3" i="42"/>
  <c r="C50" i="31"/>
  <c r="H3" i="51" s="1"/>
  <c r="L14" i="23"/>
  <c r="D11" i="36"/>
  <c r="V33" i="48"/>
  <c r="U33" i="48"/>
  <c r="K21" i="23"/>
  <c r="K21" i="24" s="1"/>
  <c r="O10" i="46"/>
  <c r="M10" i="37"/>
  <c r="U34" i="47"/>
  <c r="V34" i="47"/>
  <c r="E41" i="32"/>
  <c r="T33" i="49" s="1"/>
  <c r="Q32" i="49"/>
  <c r="G35" i="28"/>
  <c r="O35" i="48"/>
  <c r="M35" i="39"/>
  <c r="H35" i="23"/>
  <c r="H35" i="25" s="1"/>
  <c r="O36" i="39" s="1"/>
  <c r="G30" i="31"/>
  <c r="AD7" i="47" s="1"/>
  <c r="AA7" i="47"/>
  <c r="G30" i="30"/>
  <c r="AC7" i="47" s="1"/>
  <c r="G30" i="29"/>
  <c r="Q33" i="48"/>
  <c r="F35" i="32"/>
  <c r="T34" i="48" s="1"/>
  <c r="C51" i="29"/>
  <c r="K15" i="28"/>
  <c r="P10" i="45"/>
  <c r="J15" i="29"/>
  <c r="J15" i="30"/>
  <c r="R10" i="45" s="1"/>
  <c r="J15" i="31"/>
  <c r="S10" i="45" s="1"/>
  <c r="I28" i="25"/>
  <c r="O23" i="38" s="1"/>
  <c r="Z7" i="38"/>
  <c r="AA7" i="38"/>
  <c r="AA10" i="35"/>
  <c r="Z10" i="35"/>
  <c r="Z11" i="44"/>
  <c r="K12" i="28"/>
  <c r="V11" i="35"/>
  <c r="D8" i="38"/>
  <c r="Y8" i="49"/>
  <c r="U8" i="40"/>
  <c r="I42" i="22"/>
  <c r="AA9" i="37"/>
  <c r="Z9" i="37"/>
  <c r="R22" i="38"/>
  <c r="Q22" i="38"/>
  <c r="Q24" i="44"/>
  <c r="K10" i="32"/>
  <c r="T25" i="44" s="1"/>
  <c r="N7" i="38"/>
  <c r="H27" i="26"/>
  <c r="P8" i="38" s="1"/>
  <c r="I28" i="28"/>
  <c r="I28" i="31" s="1"/>
  <c r="S23" i="47" s="1"/>
  <c r="P22" i="47"/>
  <c r="E39" i="29"/>
  <c r="K8" i="32"/>
  <c r="I11" i="44" s="1"/>
  <c r="K22" i="22"/>
  <c r="N24" i="46"/>
  <c r="L24" i="37"/>
  <c r="I4" i="41"/>
  <c r="H4" i="41"/>
  <c r="I39" i="22"/>
  <c r="N8" i="49"/>
  <c r="L8" i="40"/>
  <c r="H3" i="42"/>
  <c r="I3" i="42"/>
  <c r="J16" i="25"/>
  <c r="O24" i="36" s="1"/>
  <c r="F33" i="29"/>
  <c r="Q11" i="36"/>
  <c r="R11" i="36"/>
  <c r="H40" i="22"/>
  <c r="N21" i="49"/>
  <c r="L21" i="40"/>
  <c r="G40" i="24"/>
  <c r="G40" i="25"/>
  <c r="O21" i="40" s="1"/>
  <c r="K20" i="22"/>
  <c r="C10" i="37"/>
  <c r="F46" i="28"/>
  <c r="F46" i="29" s="1"/>
  <c r="P19" i="50"/>
  <c r="D52" i="30"/>
  <c r="R18" i="51" s="1"/>
  <c r="L8" i="26"/>
  <c r="G12" i="35" s="1"/>
  <c r="E11" i="35"/>
  <c r="E46" i="31"/>
  <c r="S19" i="50" s="1"/>
  <c r="K9" i="25"/>
  <c r="O11" i="35" s="1"/>
  <c r="AG9" i="44"/>
  <c r="AF9" i="44"/>
  <c r="L15" i="24"/>
  <c r="AA8" i="46"/>
  <c r="H24" i="31"/>
  <c r="AD8" i="46" s="1"/>
  <c r="H24" i="30"/>
  <c r="AC8" i="46" s="1"/>
  <c r="H24" i="29"/>
  <c r="Z10" i="45"/>
  <c r="V10" i="36"/>
  <c r="J18" i="28"/>
  <c r="D54" i="26"/>
  <c r="Y4" i="42" s="1"/>
  <c r="F36" i="29"/>
  <c r="E45" i="26"/>
  <c r="P5" i="41" s="1"/>
  <c r="N27" i="27"/>
  <c r="V4" i="26"/>
  <c r="I5" i="53" s="1"/>
  <c r="I143" i="59" s="1"/>
  <c r="S31" i="50"/>
  <c r="D47" i="32"/>
  <c r="T32" i="50" s="1"/>
  <c r="Z3" i="42"/>
  <c r="AA3" i="42"/>
  <c r="G40" i="28"/>
  <c r="P20" i="49"/>
  <c r="O20" i="50"/>
  <c r="M20" i="41"/>
  <c r="G46" i="23"/>
  <c r="N25" i="35"/>
  <c r="L10" i="26"/>
  <c r="P26" i="35" s="1"/>
  <c r="Z6" i="39"/>
  <c r="AA6" i="39"/>
  <c r="V35" i="46"/>
  <c r="U35" i="46"/>
  <c r="D6" i="40"/>
  <c r="G38" i="23"/>
  <c r="G38" i="24" s="1"/>
  <c r="I20" i="28"/>
  <c r="I20" i="29" s="1"/>
  <c r="H20" i="31"/>
  <c r="H8" i="46" s="1"/>
  <c r="F38" i="24"/>
  <c r="V32" i="49"/>
  <c r="U32" i="49"/>
  <c r="L10" i="28"/>
  <c r="L10" i="30" s="1"/>
  <c r="R26" i="44" s="1"/>
  <c r="P25" i="44"/>
  <c r="K10" i="30"/>
  <c r="R25" i="44" s="1"/>
  <c r="Q19" i="41"/>
  <c r="R19" i="41"/>
  <c r="O8" i="47"/>
  <c r="M8" i="38"/>
  <c r="H27" i="24"/>
  <c r="H27" i="25"/>
  <c r="O8" i="38" s="1"/>
  <c r="I27" i="23"/>
  <c r="V3" i="51"/>
  <c r="U3" i="51"/>
  <c r="F38" i="28"/>
  <c r="F38" i="31" s="1"/>
  <c r="H6" i="49" s="1"/>
  <c r="E5" i="49"/>
  <c r="E38" i="31"/>
  <c r="H5" i="49" s="1"/>
  <c r="D7" i="39"/>
  <c r="H32" i="23"/>
  <c r="G32" i="25"/>
  <c r="F7" i="39" s="1"/>
  <c r="G32" i="24"/>
  <c r="H26" i="28"/>
  <c r="G26" i="30"/>
  <c r="G7" i="47" s="1"/>
  <c r="G26" i="29"/>
  <c r="D52" i="31"/>
  <c r="S18" i="51" s="1"/>
  <c r="M9" i="22"/>
  <c r="N12" i="44"/>
  <c r="L12" i="35"/>
  <c r="O41" i="43"/>
  <c r="M41" i="27"/>
  <c r="M4" i="28"/>
  <c r="M4" i="30" s="1"/>
  <c r="P26" i="43"/>
  <c r="H29" i="24"/>
  <c r="N36" i="38" s="1"/>
  <c r="O36" i="47"/>
  <c r="M36" i="38"/>
  <c r="O37" i="46"/>
  <c r="M37" i="37"/>
  <c r="N36" i="48"/>
  <c r="L36" i="39"/>
  <c r="H11" i="35"/>
  <c r="I11" i="35"/>
  <c r="E44" i="28"/>
  <c r="E44" i="29" s="1"/>
  <c r="E4" i="50"/>
  <c r="D54" i="24"/>
  <c r="Q4" i="41"/>
  <c r="R4" i="41"/>
  <c r="L9" i="23"/>
  <c r="O11" i="44"/>
  <c r="M11" i="35"/>
  <c r="E47" i="26"/>
  <c r="P33" i="41" s="1"/>
  <c r="O32" i="41"/>
  <c r="E50" i="23"/>
  <c r="D4" i="51"/>
  <c r="D4" i="42"/>
  <c r="D50" i="28"/>
  <c r="E4" i="51" s="1"/>
  <c r="D50" i="25"/>
  <c r="F4" i="42" s="1"/>
  <c r="D50" i="24"/>
  <c r="AB8" i="45"/>
  <c r="I18" i="32"/>
  <c r="AE9" i="45" s="1"/>
  <c r="J20" i="23"/>
  <c r="D9" i="37"/>
  <c r="H20" i="32"/>
  <c r="I8" i="46" s="1"/>
  <c r="H38" i="22"/>
  <c r="C7" i="40"/>
  <c r="C51" i="30"/>
  <c r="R3" i="51" s="1"/>
  <c r="Q9" i="45"/>
  <c r="J15" i="32"/>
  <c r="T10" i="45" s="1"/>
  <c r="D5" i="50"/>
  <c r="D5" i="41"/>
  <c r="F44" i="23"/>
  <c r="F44" i="25" s="1"/>
  <c r="F6" i="41" s="1"/>
  <c r="H27" i="28"/>
  <c r="H27" i="29" s="1"/>
  <c r="P7" i="47"/>
  <c r="AA9" i="45"/>
  <c r="I18" i="31"/>
  <c r="AD9" i="45" s="1"/>
  <c r="I18" i="29"/>
  <c r="O23" i="47"/>
  <c r="M23" i="38"/>
  <c r="E8" i="37"/>
  <c r="I20" i="26"/>
  <c r="G9" i="37" s="1"/>
  <c r="J24" i="26"/>
  <c r="Y10" i="37" s="1"/>
  <c r="AF8" i="45"/>
  <c r="AG8" i="45"/>
  <c r="Q7" i="38"/>
  <c r="R7" i="38"/>
  <c r="G27" i="31"/>
  <c r="S7" i="47" s="1"/>
  <c r="K9" i="28"/>
  <c r="K9" i="31" s="1"/>
  <c r="S11" i="44" s="1"/>
  <c r="P10" i="44"/>
  <c r="J9" i="31"/>
  <c r="S10" i="44" s="1"/>
  <c r="J9" i="29"/>
  <c r="F39" i="26"/>
  <c r="P6" i="40" s="1"/>
  <c r="O5" i="40"/>
  <c r="O6" i="49"/>
  <c r="M6" i="40"/>
  <c r="G39" i="23"/>
  <c r="F39" i="24"/>
  <c r="F39" i="25"/>
  <c r="O6" i="40" s="1"/>
  <c r="Q5" i="40"/>
  <c r="R5" i="40"/>
  <c r="AG8" i="46"/>
  <c r="F42" i="28"/>
  <c r="AA6" i="49" s="1"/>
  <c r="AA5" i="49"/>
  <c r="N23" i="37"/>
  <c r="AA8" i="37"/>
  <c r="Z8" i="37"/>
  <c r="N27" i="44"/>
  <c r="L27" i="35"/>
  <c r="G34" i="30"/>
  <c r="R21" i="48" s="1"/>
  <c r="N6" i="39"/>
  <c r="G33" i="26"/>
  <c r="P7" i="39" s="1"/>
  <c r="M14" i="22"/>
  <c r="C12" i="45"/>
  <c r="C12" i="36"/>
  <c r="H50" i="22"/>
  <c r="C7" i="42"/>
  <c r="J30" i="22"/>
  <c r="Y9" i="47"/>
  <c r="U9" i="38"/>
  <c r="I30" i="23"/>
  <c r="I30" i="24" s="1"/>
  <c r="G26" i="31"/>
  <c r="H7" i="47" s="1"/>
  <c r="F40" i="29"/>
  <c r="V20" i="49"/>
  <c r="U20" i="49"/>
  <c r="I20" i="24"/>
  <c r="H20" i="29"/>
  <c r="E52" i="26"/>
  <c r="P19" i="42" s="1"/>
  <c r="O18" i="42"/>
  <c r="L24" i="22"/>
  <c r="Y11" i="46"/>
  <c r="U11" i="37"/>
  <c r="K24" i="23"/>
  <c r="K24" i="25" s="1"/>
  <c r="X11" i="37" s="1"/>
  <c r="G46" i="22"/>
  <c r="N20" i="50"/>
  <c r="L20" i="41"/>
  <c r="F46" i="24"/>
  <c r="F46" i="25"/>
  <c r="O20" i="41" s="1"/>
  <c r="K9" i="24"/>
  <c r="O21" i="49"/>
  <c r="M21" i="40"/>
  <c r="H40" i="23"/>
  <c r="J34" i="22"/>
  <c r="N23" i="48"/>
  <c r="L23" i="39"/>
  <c r="I22" i="28"/>
  <c r="P22" i="46"/>
  <c r="H22" i="31"/>
  <c r="S22" i="46" s="1"/>
  <c r="H22" i="29"/>
  <c r="H22" i="30"/>
  <c r="R22" i="46" s="1"/>
  <c r="O5" i="50"/>
  <c r="M5" i="41"/>
  <c r="F45" i="23"/>
  <c r="F45" i="24" s="1"/>
  <c r="W6" i="39"/>
  <c r="G36" i="26"/>
  <c r="Y7" i="39" s="1"/>
  <c r="J9" i="32"/>
  <c r="T10" i="44" s="1"/>
  <c r="N40" i="44"/>
  <c r="L40" i="35"/>
  <c r="N34" i="50"/>
  <c r="L34" i="41"/>
  <c r="N38" i="46"/>
  <c r="L38" i="37"/>
  <c r="R39" i="35"/>
  <c r="Q39" i="35"/>
  <c r="G44" i="22"/>
  <c r="C6" i="41"/>
  <c r="Z6" i="49"/>
  <c r="V6" i="40"/>
  <c r="G42" i="23"/>
  <c r="F42" i="25"/>
  <c r="X6" i="40" s="1"/>
  <c r="F42" i="24"/>
  <c r="D54" i="25"/>
  <c r="X4" i="42" s="1"/>
  <c r="L21" i="22"/>
  <c r="N11" i="46"/>
  <c r="L11" i="37"/>
  <c r="H5" i="41"/>
  <c r="I5" i="41"/>
  <c r="AB4" i="49"/>
  <c r="E42" i="32"/>
  <c r="AE5" i="49" s="1"/>
  <c r="N21" i="39"/>
  <c r="H34" i="26"/>
  <c r="P22" i="39" s="1"/>
  <c r="N23" i="38"/>
  <c r="K28" i="22"/>
  <c r="N24" i="47"/>
  <c r="L24" i="38"/>
  <c r="J28" i="23"/>
  <c r="J28" i="25" s="1"/>
  <c r="O24" i="38" s="1"/>
  <c r="Y12" i="44"/>
  <c r="U12" i="35"/>
  <c r="L12" i="23"/>
  <c r="L12" i="24" s="1"/>
  <c r="M12" i="22"/>
  <c r="C9" i="38"/>
  <c r="I26" i="23"/>
  <c r="J26" i="22"/>
  <c r="N24" i="36"/>
  <c r="E11" i="36"/>
  <c r="Z5" i="40"/>
  <c r="AA5" i="40"/>
  <c r="O32" i="51"/>
  <c r="M32" i="42"/>
  <c r="D53" i="28"/>
  <c r="D53" i="31" s="1"/>
  <c r="S32" i="51" s="1"/>
  <c r="E53" i="23"/>
  <c r="E53" i="24" s="1"/>
  <c r="Q7" i="46"/>
  <c r="H21" i="32"/>
  <c r="T8" i="46" s="1"/>
  <c r="N19" i="41"/>
  <c r="F46" i="26"/>
  <c r="P20" i="41" s="1"/>
  <c r="M3" i="25"/>
  <c r="H29" i="26"/>
  <c r="P36" i="38" s="1"/>
  <c r="V37" i="44"/>
  <c r="U37" i="44"/>
  <c r="F41" i="28"/>
  <c r="O34" i="49"/>
  <c r="M34" i="40"/>
  <c r="G41" i="23"/>
  <c r="G41" i="25" s="1"/>
  <c r="O35" i="40" s="1"/>
  <c r="E5" i="41"/>
  <c r="D44" i="32"/>
  <c r="W9" i="36"/>
  <c r="J18" i="26"/>
  <c r="Y10" i="36" s="1"/>
  <c r="Q10" i="35"/>
  <c r="R10" i="35"/>
  <c r="U21" i="46"/>
  <c r="V21" i="46"/>
  <c r="H8" i="38"/>
  <c r="I8" i="38"/>
  <c r="N10" i="37"/>
  <c r="U6" i="47"/>
  <c r="V6" i="47"/>
  <c r="M5" i="26"/>
  <c r="L5" i="31"/>
  <c r="P40" i="43"/>
  <c r="N37" i="47"/>
  <c r="L37" i="38"/>
  <c r="E47" i="25"/>
  <c r="O33" i="41" s="1"/>
  <c r="O38" i="45"/>
  <c r="M38" i="36"/>
  <c r="N39" i="45"/>
  <c r="L39" i="36"/>
  <c r="I17" i="32"/>
  <c r="T37" i="45" s="1"/>
  <c r="R36" i="45"/>
  <c r="G34" i="31"/>
  <c r="S21" i="48" s="1"/>
  <c r="K16" i="23"/>
  <c r="O24" i="45"/>
  <c r="M24" i="36"/>
  <c r="W5" i="40"/>
  <c r="F42" i="26"/>
  <c r="Y6" i="40" s="1"/>
  <c r="E42" i="29"/>
  <c r="Q21" i="47"/>
  <c r="H28" i="32"/>
  <c r="T22" i="47" s="1"/>
  <c r="G51" i="22"/>
  <c r="N6" i="51"/>
  <c r="L6" i="42"/>
  <c r="Z5" i="50"/>
  <c r="V5" i="41"/>
  <c r="F48" i="23"/>
  <c r="F48" i="24" s="1"/>
  <c r="F54" i="22"/>
  <c r="Y5" i="51"/>
  <c r="U5" i="42"/>
  <c r="Q20" i="40"/>
  <c r="R20" i="40"/>
  <c r="C13" i="44"/>
  <c r="C13" i="35"/>
  <c r="M8" i="23"/>
  <c r="G45" i="22"/>
  <c r="N6" i="50"/>
  <c r="L6" i="41"/>
  <c r="G32" i="28"/>
  <c r="G32" i="31" s="1"/>
  <c r="H7" i="48" s="1"/>
  <c r="Q22" i="45"/>
  <c r="I16" i="32"/>
  <c r="T23" i="45" s="1"/>
  <c r="J16" i="28"/>
  <c r="P23" i="45"/>
  <c r="I16" i="30"/>
  <c r="R23" i="45" s="1"/>
  <c r="E38" i="29"/>
  <c r="I14" i="32"/>
  <c r="I9" i="45" s="1"/>
  <c r="O27" i="43"/>
  <c r="M27" i="27"/>
  <c r="AF6" i="47"/>
  <c r="AG6" i="47"/>
  <c r="AF7" i="46"/>
  <c r="AG7" i="46"/>
  <c r="F38" i="25"/>
  <c r="F6" i="40" s="1"/>
  <c r="G26" i="32"/>
  <c r="P33" i="49"/>
  <c r="E41" i="29"/>
  <c r="E41" i="30"/>
  <c r="R33" i="49" s="1"/>
  <c r="E41" i="31"/>
  <c r="S33" i="49" s="1"/>
  <c r="D44" i="29"/>
  <c r="O19" i="51"/>
  <c r="M19" i="42"/>
  <c r="F52" i="23"/>
  <c r="C51" i="31"/>
  <c r="S3" i="51" s="1"/>
  <c r="N3" i="42"/>
  <c r="D51" i="26"/>
  <c r="P4" i="42" s="1"/>
  <c r="O4" i="51"/>
  <c r="M4" i="42"/>
  <c r="D51" i="28"/>
  <c r="D51" i="30" s="1"/>
  <c r="R4" i="51" s="1"/>
  <c r="E51" i="23"/>
  <c r="D51" i="24"/>
  <c r="N4" i="42" s="1"/>
  <c r="D51" i="25"/>
  <c r="AG3" i="51"/>
  <c r="AF3" i="51"/>
  <c r="J32" i="22"/>
  <c r="C9" i="39"/>
  <c r="J22" i="23"/>
  <c r="J22" i="24" s="1"/>
  <c r="O23" i="46"/>
  <c r="M23" i="37"/>
  <c r="W10" i="35"/>
  <c r="K12" i="26"/>
  <c r="Y11" i="35" s="1"/>
  <c r="E8" i="38"/>
  <c r="I26" i="26"/>
  <c r="G9" i="38" s="1"/>
  <c r="I24" i="31"/>
  <c r="AD9" i="46" s="1"/>
  <c r="AA9" i="46"/>
  <c r="I24" i="30"/>
  <c r="AC9" i="46" s="1"/>
  <c r="M15" i="23"/>
  <c r="O12" i="45"/>
  <c r="M12" i="36"/>
  <c r="G48" i="22"/>
  <c r="Y6" i="50"/>
  <c r="U6" i="41"/>
  <c r="G27" i="30"/>
  <c r="R7" i="47" s="1"/>
  <c r="E39" i="31"/>
  <c r="S5" i="49" s="1"/>
  <c r="Q35" i="38"/>
  <c r="R35" i="38"/>
  <c r="L8" i="28"/>
  <c r="K8" i="30"/>
  <c r="G11" i="44" s="1"/>
  <c r="K8" i="29"/>
  <c r="K8" i="31"/>
  <c r="H11" i="44" s="1"/>
  <c r="AB3" i="50"/>
  <c r="D48" i="32"/>
  <c r="AE4" i="50" s="1"/>
  <c r="E48" i="28"/>
  <c r="E48" i="30" s="1"/>
  <c r="AC5" i="50" s="1"/>
  <c r="AA4" i="50"/>
  <c r="D48" i="29"/>
  <c r="D48" i="30"/>
  <c r="AC4" i="50" s="1"/>
  <c r="D48" i="31"/>
  <c r="AD4" i="50" s="1"/>
  <c r="I22" i="25"/>
  <c r="O23" i="37" s="1"/>
  <c r="AB6" i="47"/>
  <c r="G30" i="32"/>
  <c r="AE7" i="47" s="1"/>
  <c r="K10" i="31"/>
  <c r="S25" i="44" s="1"/>
  <c r="L27" i="22"/>
  <c r="N11" i="47"/>
  <c r="L11" i="38"/>
  <c r="L16" i="22"/>
  <c r="N25" i="45"/>
  <c r="L25" i="36"/>
  <c r="F33" i="30"/>
  <c r="R6" i="48" s="1"/>
  <c r="O7" i="48"/>
  <c r="M7" i="39"/>
  <c r="H33" i="23"/>
  <c r="G33" i="24"/>
  <c r="G33" i="25"/>
  <c r="O7" i="39" s="1"/>
  <c r="K14" i="25"/>
  <c r="F11" i="36" s="1"/>
  <c r="J36" i="22"/>
  <c r="Y9" i="48"/>
  <c r="U9" i="39"/>
  <c r="Z8" i="47"/>
  <c r="V8" i="38"/>
  <c r="H30" i="28"/>
  <c r="G40" i="26"/>
  <c r="P21" i="40" s="1"/>
  <c r="N20" i="40"/>
  <c r="F32" i="30"/>
  <c r="G6" i="48" s="1"/>
  <c r="E6" i="39"/>
  <c r="G32" i="26"/>
  <c r="G7" i="39" s="1"/>
  <c r="I20" i="25"/>
  <c r="F9" i="37" s="1"/>
  <c r="I21" i="28"/>
  <c r="P8" i="46"/>
  <c r="H21" i="30"/>
  <c r="R8" i="46" s="1"/>
  <c r="H21" i="29"/>
  <c r="H21" i="31"/>
  <c r="S8" i="46" s="1"/>
  <c r="F52" i="22"/>
  <c r="N19" i="51"/>
  <c r="L19" i="42"/>
  <c r="E52" i="30"/>
  <c r="R19" i="51" s="1"/>
  <c r="E52" i="24"/>
  <c r="E52" i="25"/>
  <c r="O19" i="42" s="1"/>
  <c r="D52" i="29"/>
  <c r="W10" i="37"/>
  <c r="Z10" i="46"/>
  <c r="V10" i="37"/>
  <c r="J24" i="28"/>
  <c r="J24" i="30" s="1"/>
  <c r="AC10" i="46" s="1"/>
  <c r="Q19" i="50"/>
  <c r="O22" i="48"/>
  <c r="M22" i="39"/>
  <c r="I34" i="23"/>
  <c r="I34" i="24" s="1"/>
  <c r="F38" i="26"/>
  <c r="G6" i="40" s="1"/>
  <c r="E5" i="40"/>
  <c r="D45" i="32"/>
  <c r="T4" i="50" s="1"/>
  <c r="P32" i="50"/>
  <c r="D47" i="30"/>
  <c r="H34" i="24"/>
  <c r="R6" i="39"/>
  <c r="Q6" i="39"/>
  <c r="Y11" i="45"/>
  <c r="K18" i="23"/>
  <c r="K18" i="25" s="1"/>
  <c r="X11" i="36" s="1"/>
  <c r="L18" i="22"/>
  <c r="U11" i="36"/>
  <c r="J12" i="30"/>
  <c r="AC10" i="44" s="1"/>
  <c r="E45" i="28"/>
  <c r="P4" i="50"/>
  <c r="D45" i="29"/>
  <c r="R18" i="42"/>
  <c r="Q18" i="42"/>
  <c r="F36" i="31"/>
  <c r="AD6" i="48" s="1"/>
  <c r="F36" i="30"/>
  <c r="AC6" i="48" s="1"/>
  <c r="V21" i="47"/>
  <c r="U21" i="47"/>
  <c r="K10" i="29"/>
  <c r="J9" i="30"/>
  <c r="R10" i="44" s="1"/>
  <c r="M6" i="25"/>
  <c r="V13" i="27"/>
  <c r="X7" i="26"/>
  <c r="J23" i="23"/>
  <c r="J23" i="24" s="1"/>
  <c r="N38" i="37" s="1"/>
  <c r="I17" i="31"/>
  <c r="S37" i="45" s="1"/>
  <c r="I17" i="29"/>
  <c r="Q37" i="45" s="1"/>
  <c r="I17" i="30"/>
  <c r="R37" i="45" s="1"/>
  <c r="J11" i="32"/>
  <c r="T38" i="44" s="1"/>
  <c r="I23" i="25"/>
  <c r="I23" i="24"/>
  <c r="N37" i="37" s="1"/>
  <c r="H23" i="32"/>
  <c r="T36" i="46" s="1"/>
  <c r="F53" i="22"/>
  <c r="M11" i="22"/>
  <c r="J29" i="22"/>
  <c r="I29" i="23"/>
  <c r="H29" i="28"/>
  <c r="G29" i="30"/>
  <c r="R35" i="47" s="1"/>
  <c r="H41" i="22"/>
  <c r="L17" i="22"/>
  <c r="I23" i="28"/>
  <c r="H23" i="31"/>
  <c r="S36" i="46" s="1"/>
  <c r="H23" i="29"/>
  <c r="Q36" i="46" s="1"/>
  <c r="H23" i="30"/>
  <c r="R36" i="46" s="1"/>
  <c r="G29" i="31"/>
  <c r="S35" i="47" s="1"/>
  <c r="K11" i="28"/>
  <c r="P39" i="44" s="1"/>
  <c r="J11" i="30"/>
  <c r="R38" i="44" s="1"/>
  <c r="J11" i="29"/>
  <c r="Q38" i="44" s="1"/>
  <c r="J11" i="31"/>
  <c r="S38" i="44" s="1"/>
  <c r="L11" i="26"/>
  <c r="P40" i="35" s="1"/>
  <c r="H29" i="25"/>
  <c r="K17" i="23"/>
  <c r="J17" i="28"/>
  <c r="I35" i="22"/>
  <c r="L11" i="23"/>
  <c r="J17" i="24"/>
  <c r="N38" i="36" s="1"/>
  <c r="K23" i="22"/>
  <c r="J17" i="25"/>
  <c r="O38" i="36" s="1"/>
  <c r="G47" i="22"/>
  <c r="H35" i="26"/>
  <c r="P36" i="39" s="1"/>
  <c r="G29" i="29"/>
  <c r="Q35" i="47" s="1"/>
  <c r="Y22" i="23"/>
  <c r="L5" i="32"/>
  <c r="L4" i="30"/>
  <c r="L5" i="30"/>
  <c r="L87" i="59" s="1"/>
  <c r="L4" i="29"/>
  <c r="M4" i="26"/>
  <c r="M2" i="28"/>
  <c r="M68" i="59" s="1"/>
  <c r="M2" i="25"/>
  <c r="L2" i="32"/>
  <c r="L2" i="30"/>
  <c r="L2" i="29"/>
  <c r="M6" i="28"/>
  <c r="M72" i="59" s="1"/>
  <c r="M6" i="24"/>
  <c r="M48" i="59" s="1"/>
  <c r="M5" i="28"/>
  <c r="M71" i="59" s="1"/>
  <c r="M5" i="24"/>
  <c r="L4" i="32"/>
  <c r="M3" i="28"/>
  <c r="L3" i="31"/>
  <c r="L3" i="30"/>
  <c r="L3" i="29"/>
  <c r="M5" i="25"/>
  <c r="M2" i="26"/>
  <c r="L3" i="32"/>
  <c r="J9" i="45" l="1"/>
  <c r="K9" i="45"/>
  <c r="J11" i="44"/>
  <c r="K11" i="44"/>
  <c r="K6" i="47"/>
  <c r="J6" i="47"/>
  <c r="J6" i="48"/>
  <c r="K6" i="48"/>
  <c r="K6" i="50"/>
  <c r="J6" i="50"/>
  <c r="J8" i="46"/>
  <c r="K8" i="46"/>
  <c r="I7" i="51"/>
  <c r="I7" i="50"/>
  <c r="I7" i="49"/>
  <c r="I7" i="48"/>
  <c r="I7" i="47"/>
  <c r="J6" i="51"/>
  <c r="K6" i="51"/>
  <c r="J6" i="49"/>
  <c r="K6" i="49"/>
  <c r="E52" i="29"/>
  <c r="U7" i="47"/>
  <c r="AA5" i="41"/>
  <c r="R32" i="42"/>
  <c r="R23" i="37"/>
  <c r="E54" i="25"/>
  <c r="X5" i="42" s="1"/>
  <c r="H35" i="24"/>
  <c r="N36" i="39" s="1"/>
  <c r="Q12" i="36"/>
  <c r="V6" i="48"/>
  <c r="F42" i="30"/>
  <c r="AC6" i="49" s="1"/>
  <c r="F42" i="31"/>
  <c r="AD6" i="49" s="1"/>
  <c r="G33" i="30"/>
  <c r="R7" i="48" s="1"/>
  <c r="G41" i="24"/>
  <c r="N35" i="40" s="1"/>
  <c r="F42" i="29"/>
  <c r="AB6" i="49" s="1"/>
  <c r="R4" i="26"/>
  <c r="E5" i="53" s="1"/>
  <c r="E143" i="59" s="1"/>
  <c r="V32" i="51"/>
  <c r="AA8" i="38"/>
  <c r="K21" i="26"/>
  <c r="P11" i="37" s="1"/>
  <c r="P4" i="26"/>
  <c r="C5" i="53" s="1"/>
  <c r="C143" i="59" s="1"/>
  <c r="Z4" i="26"/>
  <c r="M5" i="53" s="1"/>
  <c r="M143" i="59" s="1"/>
  <c r="M54" i="59"/>
  <c r="T4" i="26"/>
  <c r="G5" i="53" s="1"/>
  <c r="G143" i="59" s="1"/>
  <c r="O4" i="26"/>
  <c r="B5" i="53" s="1"/>
  <c r="B143" i="59" s="1"/>
  <c r="O27" i="27"/>
  <c r="E44" i="31"/>
  <c r="H5" i="50" s="1"/>
  <c r="X4" i="26"/>
  <c r="K5" i="53" s="1"/>
  <c r="K143" i="59" s="1"/>
  <c r="S4" i="26"/>
  <c r="F5" i="53" s="1"/>
  <c r="F143" i="59" s="1"/>
  <c r="Q11" i="35"/>
  <c r="Q4" i="26"/>
  <c r="D5" i="53" s="1"/>
  <c r="D143" i="59" s="1"/>
  <c r="W4" i="26"/>
  <c r="J5" i="53" s="1"/>
  <c r="J143" i="59" s="1"/>
  <c r="U4" i="26"/>
  <c r="H5" i="53" s="1"/>
  <c r="H143" i="59" s="1"/>
  <c r="Y4" i="26"/>
  <c r="L5" i="53" s="1"/>
  <c r="L143" i="59" s="1"/>
  <c r="L88" i="59"/>
  <c r="A48" i="31"/>
  <c r="A48" i="32" s="1"/>
  <c r="A54" i="30"/>
  <c r="A54" i="31" s="1"/>
  <c r="A54" i="32" s="1"/>
  <c r="K21" i="25"/>
  <c r="O11" i="37" s="1"/>
  <c r="I30" i="26"/>
  <c r="Y9" i="38" s="1"/>
  <c r="Z9" i="38" s="1"/>
  <c r="F46" i="32"/>
  <c r="T20" i="50" s="1"/>
  <c r="V20" i="50" s="1"/>
  <c r="M6" i="32"/>
  <c r="AE13" i="43" s="1"/>
  <c r="AG13" i="43" s="1"/>
  <c r="L80" i="59"/>
  <c r="E47" i="29"/>
  <c r="Q33" i="50" s="1"/>
  <c r="E47" i="30"/>
  <c r="R33" i="50" s="1"/>
  <c r="E47" i="31"/>
  <c r="S33" i="50" s="1"/>
  <c r="F38" i="29"/>
  <c r="M61" i="59"/>
  <c r="F45" i="26"/>
  <c r="P6" i="41" s="1"/>
  <c r="Q6" i="41" s="1"/>
  <c r="F47" i="26"/>
  <c r="P34" i="41" s="1"/>
  <c r="Q34" i="41" s="1"/>
  <c r="I28" i="32"/>
  <c r="T23" i="47" s="1"/>
  <c r="U23" i="47" s="1"/>
  <c r="F39" i="31"/>
  <c r="S6" i="49" s="1"/>
  <c r="R38" i="36"/>
  <c r="Q26" i="27"/>
  <c r="AF6" i="48"/>
  <c r="F48" i="26"/>
  <c r="Y6" i="41" s="1"/>
  <c r="Z6" i="41" s="1"/>
  <c r="F47" i="24"/>
  <c r="N34" i="41" s="1"/>
  <c r="L94" i="59"/>
  <c r="U19" i="50"/>
  <c r="F48" i="25"/>
  <c r="X6" i="41" s="1"/>
  <c r="Q40" i="43"/>
  <c r="F45" i="25"/>
  <c r="O6" i="41" s="1"/>
  <c r="Q10" i="37"/>
  <c r="Q13" i="27"/>
  <c r="L12" i="25"/>
  <c r="X12" i="35" s="1"/>
  <c r="G38" i="25"/>
  <c r="F7" i="40" s="1"/>
  <c r="M64" i="59"/>
  <c r="L10" i="31"/>
  <c r="S26" i="44" s="1"/>
  <c r="V5" i="49"/>
  <c r="L12" i="26"/>
  <c r="Y12" i="35" s="1"/>
  <c r="AA12" i="35" s="1"/>
  <c r="G41" i="26"/>
  <c r="P35" i="40" s="1"/>
  <c r="Q35" i="40" s="1"/>
  <c r="L10" i="29"/>
  <c r="F39" i="30"/>
  <c r="R6" i="49" s="1"/>
  <c r="D54" i="31"/>
  <c r="AD4" i="51" s="1"/>
  <c r="F46" i="30"/>
  <c r="R20" i="50" s="1"/>
  <c r="M4" i="29"/>
  <c r="Q27" i="43" s="1"/>
  <c r="Z13" i="27"/>
  <c r="U11" i="43"/>
  <c r="J28" i="26"/>
  <c r="P24" i="38" s="1"/>
  <c r="R24" i="38" s="1"/>
  <c r="K18" i="26"/>
  <c r="Y11" i="36" s="1"/>
  <c r="AA11" i="36" s="1"/>
  <c r="A52" i="30"/>
  <c r="A52" i="31" s="1"/>
  <c r="A52" i="32" s="1"/>
  <c r="A46" i="31"/>
  <c r="A46" i="32" s="1"/>
  <c r="M4" i="31"/>
  <c r="S27" i="43" s="1"/>
  <c r="Z12" i="27"/>
  <c r="U18" i="51"/>
  <c r="E53" i="25"/>
  <c r="O33" i="42" s="1"/>
  <c r="F46" i="31"/>
  <c r="S20" i="50" s="1"/>
  <c r="U35" i="47"/>
  <c r="AF11" i="43"/>
  <c r="K16" i="26"/>
  <c r="P25" i="36" s="1"/>
  <c r="R25" i="36" s="1"/>
  <c r="G36" i="31"/>
  <c r="AD7" i="48" s="1"/>
  <c r="AA14" i="27"/>
  <c r="B7" i="52" s="1"/>
  <c r="B121" i="59" s="1"/>
  <c r="D50" i="32"/>
  <c r="K24" i="26"/>
  <c r="Y11" i="37" s="1"/>
  <c r="AA11" i="37" s="1"/>
  <c r="F44" i="26"/>
  <c r="G6" i="41" s="1"/>
  <c r="I6" i="41" s="1"/>
  <c r="Q12" i="43"/>
  <c r="L77" i="59"/>
  <c r="F13" i="27"/>
  <c r="M52" i="59"/>
  <c r="P41" i="27"/>
  <c r="R41" i="27" s="1"/>
  <c r="R42" i="27" s="1"/>
  <c r="B6" i="52" s="1"/>
  <c r="M63" i="59"/>
  <c r="H12" i="43"/>
  <c r="L92" i="59"/>
  <c r="R12" i="43"/>
  <c r="L85" i="59"/>
  <c r="P27" i="27"/>
  <c r="R27" i="27" s="1"/>
  <c r="R28" i="27" s="1"/>
  <c r="B5" i="52" s="1"/>
  <c r="M62" i="59"/>
  <c r="G33" i="29"/>
  <c r="S12" i="43"/>
  <c r="L93" i="59"/>
  <c r="R27" i="43"/>
  <c r="M86" i="59"/>
  <c r="T40" i="43"/>
  <c r="U40" i="43" s="1"/>
  <c r="L103" i="59"/>
  <c r="X13" i="27"/>
  <c r="M56" i="59"/>
  <c r="G32" i="30"/>
  <c r="G7" i="48" s="1"/>
  <c r="AE12" i="43"/>
  <c r="AF12" i="43" s="1"/>
  <c r="L104" i="59"/>
  <c r="P13" i="43"/>
  <c r="M69" i="59"/>
  <c r="Q26" i="43"/>
  <c r="L78" i="59"/>
  <c r="K24" i="24"/>
  <c r="W11" i="37" s="1"/>
  <c r="H12" i="27"/>
  <c r="R12" i="27"/>
  <c r="R14" i="27" s="1"/>
  <c r="B4" i="52" s="1"/>
  <c r="Q12" i="27"/>
  <c r="AD12" i="43"/>
  <c r="L96" i="59"/>
  <c r="O41" i="27"/>
  <c r="M55" i="59"/>
  <c r="N41" i="27"/>
  <c r="M47" i="59"/>
  <c r="G13" i="27"/>
  <c r="H13" i="27" s="1"/>
  <c r="M60" i="59"/>
  <c r="G12" i="43"/>
  <c r="L84" i="59"/>
  <c r="O13" i="27"/>
  <c r="M53" i="59"/>
  <c r="I30" i="25"/>
  <c r="X9" i="38" s="1"/>
  <c r="K105" i="59"/>
  <c r="T12" i="43"/>
  <c r="V12" i="43" s="1"/>
  <c r="L101" i="59"/>
  <c r="R26" i="43"/>
  <c r="L86" i="59"/>
  <c r="S40" i="43"/>
  <c r="L95" i="59"/>
  <c r="U39" i="43"/>
  <c r="P27" i="43"/>
  <c r="M70" i="59"/>
  <c r="F12" i="43"/>
  <c r="L76" i="59"/>
  <c r="T26" i="43"/>
  <c r="V26" i="43" s="1"/>
  <c r="L102" i="59"/>
  <c r="I12" i="43"/>
  <c r="K12" i="43" s="1"/>
  <c r="L100" i="59"/>
  <c r="L65" i="59"/>
  <c r="A51" i="30"/>
  <c r="A51" i="31" s="1"/>
  <c r="A51" i="32" s="1"/>
  <c r="A45" i="31"/>
  <c r="A45" i="32" s="1"/>
  <c r="N24" i="37"/>
  <c r="Q8" i="47"/>
  <c r="F5" i="50"/>
  <c r="N35" i="50"/>
  <c r="L35" i="41"/>
  <c r="N38" i="47"/>
  <c r="L38" i="38"/>
  <c r="N34" i="51"/>
  <c r="L34" i="42"/>
  <c r="F45" i="28"/>
  <c r="P5" i="50"/>
  <c r="E45" i="30"/>
  <c r="R5" i="50" s="1"/>
  <c r="E45" i="31"/>
  <c r="S5" i="50" s="1"/>
  <c r="E45" i="29"/>
  <c r="Y12" i="45"/>
  <c r="L18" i="23"/>
  <c r="M18" i="22"/>
  <c r="U12" i="36"/>
  <c r="L16" i="23"/>
  <c r="L16" i="25" s="1"/>
  <c r="O26" i="36" s="1"/>
  <c r="O25" i="45"/>
  <c r="M25" i="36"/>
  <c r="E53" i="28"/>
  <c r="P32" i="51"/>
  <c r="D53" i="29"/>
  <c r="C10" i="38"/>
  <c r="J26" i="23"/>
  <c r="J26" i="24" s="1"/>
  <c r="K26" i="22"/>
  <c r="M21" i="22"/>
  <c r="N12" i="46"/>
  <c r="L12" i="37"/>
  <c r="E4" i="42"/>
  <c r="E50" i="26"/>
  <c r="G5" i="42" s="1"/>
  <c r="L9" i="25"/>
  <c r="O12" i="35" s="1"/>
  <c r="N39" i="46"/>
  <c r="L39" i="37"/>
  <c r="N40" i="45"/>
  <c r="L40" i="36"/>
  <c r="N41" i="44"/>
  <c r="L41" i="35"/>
  <c r="Q25" i="44"/>
  <c r="L10" i="32"/>
  <c r="T26" i="44" s="1"/>
  <c r="I6" i="40"/>
  <c r="H6" i="40"/>
  <c r="Q21" i="40"/>
  <c r="R21" i="40"/>
  <c r="AF7" i="47"/>
  <c r="AG7" i="47"/>
  <c r="W6" i="41"/>
  <c r="K16" i="28"/>
  <c r="K16" i="30" s="1"/>
  <c r="R25" i="45" s="1"/>
  <c r="P24" i="45"/>
  <c r="J16" i="29"/>
  <c r="D13" i="44"/>
  <c r="D13" i="35"/>
  <c r="M8" i="24"/>
  <c r="E13" i="35" s="1"/>
  <c r="M8" i="25"/>
  <c r="F13" i="35" s="1"/>
  <c r="W5" i="42"/>
  <c r="Z6" i="50"/>
  <c r="V6" i="41"/>
  <c r="G48" i="23"/>
  <c r="G48" i="24" s="1"/>
  <c r="H51" i="22"/>
  <c r="N7" i="51"/>
  <c r="L7" i="42"/>
  <c r="P34" i="49"/>
  <c r="F41" i="30"/>
  <c r="R34" i="49" s="1"/>
  <c r="F41" i="31"/>
  <c r="S34" i="49" s="1"/>
  <c r="Q36" i="38"/>
  <c r="R36" i="38"/>
  <c r="V8" i="46"/>
  <c r="U8" i="46"/>
  <c r="I26" i="25"/>
  <c r="F9" i="38" s="1"/>
  <c r="D9" i="38"/>
  <c r="W12" i="35"/>
  <c r="Y13" i="44"/>
  <c r="M12" i="23"/>
  <c r="M12" i="25" s="1"/>
  <c r="X13" i="35" s="1"/>
  <c r="U13" i="35"/>
  <c r="O24" i="47"/>
  <c r="M24" i="38"/>
  <c r="Z7" i="49"/>
  <c r="V7" i="40"/>
  <c r="G42" i="28"/>
  <c r="AA7" i="49" s="1"/>
  <c r="H42" i="23"/>
  <c r="G42" i="24"/>
  <c r="G42" i="25"/>
  <c r="X7" i="40" s="1"/>
  <c r="J22" i="28"/>
  <c r="J22" i="30" s="1"/>
  <c r="R24" i="46" s="1"/>
  <c r="P23" i="46"/>
  <c r="I22" i="29"/>
  <c r="I22" i="31"/>
  <c r="S23" i="46" s="1"/>
  <c r="Q20" i="50"/>
  <c r="Z11" i="46"/>
  <c r="V11" i="37"/>
  <c r="K24" i="28"/>
  <c r="K24" i="29" s="1"/>
  <c r="I20" i="32"/>
  <c r="I9" i="46" s="1"/>
  <c r="W9" i="38"/>
  <c r="I50" i="22"/>
  <c r="C8" i="42"/>
  <c r="C13" i="45"/>
  <c r="C13" i="36"/>
  <c r="Q6" i="49"/>
  <c r="AA10" i="37"/>
  <c r="Z10" i="37"/>
  <c r="D6" i="41"/>
  <c r="G44" i="23"/>
  <c r="G44" i="25" s="1"/>
  <c r="F7" i="41" s="1"/>
  <c r="E7" i="40"/>
  <c r="D50" i="31"/>
  <c r="H4" i="51" s="1"/>
  <c r="L9" i="24"/>
  <c r="E7" i="39"/>
  <c r="H32" i="26"/>
  <c r="G8" i="39" s="1"/>
  <c r="D8" i="39"/>
  <c r="I32" i="23"/>
  <c r="H32" i="24"/>
  <c r="H32" i="25"/>
  <c r="F8" i="39" s="1"/>
  <c r="H27" i="30"/>
  <c r="R8" i="47" s="1"/>
  <c r="O21" i="50"/>
  <c r="M21" i="41"/>
  <c r="H46" i="23"/>
  <c r="H40" i="28"/>
  <c r="H40" i="30" s="1"/>
  <c r="R22" i="49" s="1"/>
  <c r="P21" i="49"/>
  <c r="AB6" i="48"/>
  <c r="G36" i="32"/>
  <c r="AE7" i="48" s="1"/>
  <c r="L20" i="22"/>
  <c r="C11" i="37"/>
  <c r="G40" i="30"/>
  <c r="R21" i="49" s="1"/>
  <c r="J28" i="28"/>
  <c r="J28" i="30" s="1"/>
  <c r="R24" i="47" s="1"/>
  <c r="P23" i="47"/>
  <c r="I28" i="30"/>
  <c r="R23" i="47" s="1"/>
  <c r="K12" i="31"/>
  <c r="AD11" i="44" s="1"/>
  <c r="AA11" i="44"/>
  <c r="K12" i="30"/>
  <c r="AC11" i="44" s="1"/>
  <c r="K12" i="29"/>
  <c r="AB7" i="47"/>
  <c r="H30" i="32"/>
  <c r="AE8" i="47" s="1"/>
  <c r="H35" i="28"/>
  <c r="O36" i="48"/>
  <c r="M36" i="39"/>
  <c r="I35" i="23"/>
  <c r="I35" i="25" s="1"/>
  <c r="O37" i="39" s="1"/>
  <c r="M14" i="23"/>
  <c r="D12" i="45"/>
  <c r="D12" i="36"/>
  <c r="K14" i="28"/>
  <c r="J14" i="30"/>
  <c r="G10" i="45" s="1"/>
  <c r="J14" i="31"/>
  <c r="H10" i="45" s="1"/>
  <c r="J14" i="29"/>
  <c r="E12" i="35"/>
  <c r="M8" i="26"/>
  <c r="G13" i="35" s="1"/>
  <c r="Z8" i="48"/>
  <c r="V8" i="39"/>
  <c r="I36" i="23"/>
  <c r="H36" i="24"/>
  <c r="H36" i="25"/>
  <c r="X8" i="39" s="1"/>
  <c r="M15" i="25"/>
  <c r="O13" i="36" s="1"/>
  <c r="Q21" i="48"/>
  <c r="H34" i="32"/>
  <c r="T22" i="48" s="1"/>
  <c r="O27" i="44"/>
  <c r="M27" i="35"/>
  <c r="M10" i="24"/>
  <c r="N27" i="35" s="1"/>
  <c r="M10" i="25"/>
  <c r="O27" i="35" s="1"/>
  <c r="W2" i="26"/>
  <c r="J3" i="53" s="1"/>
  <c r="J141" i="59" s="1"/>
  <c r="S2" i="26"/>
  <c r="F3" i="53" s="1"/>
  <c r="F141" i="59" s="1"/>
  <c r="O2" i="26"/>
  <c r="X2" i="26"/>
  <c r="K3" i="53" s="1"/>
  <c r="K141" i="59" s="1"/>
  <c r="E13" i="27"/>
  <c r="Z2" i="26"/>
  <c r="M3" i="53" s="1"/>
  <c r="M141" i="59" s="1"/>
  <c r="V2" i="26"/>
  <c r="I3" i="53" s="1"/>
  <c r="I141" i="59" s="1"/>
  <c r="R2" i="26"/>
  <c r="E3" i="53" s="1"/>
  <c r="E141" i="59" s="1"/>
  <c r="U2" i="26"/>
  <c r="H3" i="53" s="1"/>
  <c r="H141" i="59" s="1"/>
  <c r="T2" i="26"/>
  <c r="G3" i="53" s="1"/>
  <c r="G141" i="59" s="1"/>
  <c r="Y2" i="26"/>
  <c r="L3" i="53" s="1"/>
  <c r="L141" i="59" s="1"/>
  <c r="Q2" i="26"/>
  <c r="D3" i="53" s="1"/>
  <c r="D141" i="59" s="1"/>
  <c r="P2" i="26"/>
  <c r="C3" i="53" s="1"/>
  <c r="C141" i="59" s="1"/>
  <c r="I22" i="30"/>
  <c r="R23" i="46" s="1"/>
  <c r="M5" i="29"/>
  <c r="P41" i="43"/>
  <c r="O39" i="45"/>
  <c r="M39" i="36"/>
  <c r="I23" i="31"/>
  <c r="S37" i="46" s="1"/>
  <c r="P37" i="46"/>
  <c r="V38" i="44"/>
  <c r="U38" i="44"/>
  <c r="O38" i="46"/>
  <c r="M38" i="37"/>
  <c r="R32" i="50"/>
  <c r="E47" i="32"/>
  <c r="T33" i="50" s="1"/>
  <c r="K22" i="23"/>
  <c r="K22" i="24" s="1"/>
  <c r="O24" i="46"/>
  <c r="M24" i="37"/>
  <c r="O5" i="51"/>
  <c r="M5" i="42"/>
  <c r="F51" i="23"/>
  <c r="E51" i="25"/>
  <c r="O5" i="42" s="1"/>
  <c r="E51" i="24"/>
  <c r="V37" i="45"/>
  <c r="U37" i="45"/>
  <c r="H44" i="22"/>
  <c r="C7" i="41"/>
  <c r="G44" i="24"/>
  <c r="O22" i="49"/>
  <c r="M22" i="40"/>
  <c r="I40" i="23"/>
  <c r="M24" i="22"/>
  <c r="Y12" i="46"/>
  <c r="U12" i="37"/>
  <c r="L24" i="23"/>
  <c r="L24" i="24" s="1"/>
  <c r="Q10" i="44"/>
  <c r="K9" i="32"/>
  <c r="T11" i="44" s="1"/>
  <c r="O9" i="47"/>
  <c r="M9" i="38"/>
  <c r="I27" i="25"/>
  <c r="O9" i="38" s="1"/>
  <c r="I27" i="24"/>
  <c r="J27" i="23"/>
  <c r="I29" i="26"/>
  <c r="P37" i="38" s="1"/>
  <c r="O36" i="38"/>
  <c r="Z11" i="45"/>
  <c r="V11" i="36"/>
  <c r="AA10" i="46"/>
  <c r="J24" i="31"/>
  <c r="AD10" i="46" s="1"/>
  <c r="J24" i="29"/>
  <c r="H7" i="39"/>
  <c r="I7" i="39"/>
  <c r="M16" i="22"/>
  <c r="N26" i="45"/>
  <c r="L26" i="36"/>
  <c r="F48" i="28"/>
  <c r="F48" i="31" s="1"/>
  <c r="AD6" i="50" s="1"/>
  <c r="AA5" i="50"/>
  <c r="E48" i="31"/>
  <c r="AD5" i="50" s="1"/>
  <c r="E48" i="29"/>
  <c r="Z11" i="35"/>
  <c r="AA11" i="35"/>
  <c r="AB5" i="49"/>
  <c r="F42" i="32"/>
  <c r="AE6" i="49" s="1"/>
  <c r="M6" i="30"/>
  <c r="AA13" i="43"/>
  <c r="M2" i="31"/>
  <c r="E13" i="43"/>
  <c r="R36" i="39"/>
  <c r="Q36" i="39"/>
  <c r="N37" i="48"/>
  <c r="L37" i="39"/>
  <c r="R40" i="35"/>
  <c r="Q40" i="35"/>
  <c r="H29" i="30"/>
  <c r="R36" i="47" s="1"/>
  <c r="P36" i="47"/>
  <c r="Q4" i="50"/>
  <c r="E45" i="32"/>
  <c r="T5" i="50" s="1"/>
  <c r="Q22" i="48"/>
  <c r="U4" i="50"/>
  <c r="V4" i="50"/>
  <c r="O23" i="48"/>
  <c r="M23" i="39"/>
  <c r="J34" i="23"/>
  <c r="J34" i="24" s="1"/>
  <c r="Q18" i="51"/>
  <c r="E52" i="32"/>
  <c r="T19" i="51" s="1"/>
  <c r="G52" i="22"/>
  <c r="N20" i="51"/>
  <c r="L20" i="42"/>
  <c r="F52" i="24"/>
  <c r="F52" i="25"/>
  <c r="O20" i="42" s="1"/>
  <c r="Q8" i="46"/>
  <c r="I21" i="32"/>
  <c r="T9" i="46" s="1"/>
  <c r="Q7" i="48"/>
  <c r="K16" i="24"/>
  <c r="K16" i="29"/>
  <c r="J16" i="30"/>
  <c r="R24" i="45" s="1"/>
  <c r="M27" i="22"/>
  <c r="N12" i="47"/>
  <c r="L12" i="38"/>
  <c r="AF4" i="50"/>
  <c r="AG4" i="50"/>
  <c r="M8" i="28"/>
  <c r="M8" i="30" s="1"/>
  <c r="G13" i="44" s="1"/>
  <c r="E12" i="44"/>
  <c r="L8" i="29"/>
  <c r="L8" i="30"/>
  <c r="G12" i="44" s="1"/>
  <c r="L8" i="31"/>
  <c r="H12" i="44" s="1"/>
  <c r="Q33" i="49"/>
  <c r="F41" i="32"/>
  <c r="T34" i="49" s="1"/>
  <c r="F5" i="49"/>
  <c r="F38" i="32"/>
  <c r="V23" i="45"/>
  <c r="U23" i="45"/>
  <c r="H32" i="28"/>
  <c r="H32" i="30" s="1"/>
  <c r="G8" i="48" s="1"/>
  <c r="H45" i="22"/>
  <c r="N7" i="50"/>
  <c r="L7" i="41"/>
  <c r="K12" i="32"/>
  <c r="AE11" i="44" s="1"/>
  <c r="U22" i="47"/>
  <c r="V22" i="47"/>
  <c r="Z6" i="40"/>
  <c r="AA6" i="40"/>
  <c r="G41" i="28"/>
  <c r="O35" i="49"/>
  <c r="M35" i="40"/>
  <c r="H41" i="23"/>
  <c r="L14" i="26"/>
  <c r="G12" i="36" s="1"/>
  <c r="I26" i="24"/>
  <c r="Z12" i="44"/>
  <c r="V12" i="35"/>
  <c r="L12" i="28"/>
  <c r="L12" i="30" s="1"/>
  <c r="AC12" i="44" s="1"/>
  <c r="AG5" i="49"/>
  <c r="AF5" i="49"/>
  <c r="N11" i="37"/>
  <c r="W6" i="40"/>
  <c r="G42" i="26"/>
  <c r="Y7" i="40" s="1"/>
  <c r="F44" i="24"/>
  <c r="V10" i="44"/>
  <c r="U10" i="44"/>
  <c r="O6" i="50"/>
  <c r="M6" i="41"/>
  <c r="G45" i="23"/>
  <c r="G45" i="24" s="1"/>
  <c r="Q22" i="46"/>
  <c r="I22" i="32"/>
  <c r="T23" i="46" s="1"/>
  <c r="K34" i="22"/>
  <c r="N24" i="48"/>
  <c r="L24" i="39"/>
  <c r="N11" i="35"/>
  <c r="L9" i="26"/>
  <c r="P12" i="35" s="1"/>
  <c r="G46" i="26"/>
  <c r="P21" i="41" s="1"/>
  <c r="N20" i="41"/>
  <c r="R19" i="42"/>
  <c r="Q19" i="42"/>
  <c r="Q20" i="49"/>
  <c r="G40" i="32"/>
  <c r="T21" i="49" s="1"/>
  <c r="K30" i="22"/>
  <c r="Y10" i="47"/>
  <c r="U10" i="38"/>
  <c r="J30" i="23"/>
  <c r="J30" i="25" s="1"/>
  <c r="X10" i="38" s="1"/>
  <c r="L14" i="25"/>
  <c r="F12" i="36" s="1"/>
  <c r="Q7" i="39"/>
  <c r="R7" i="39"/>
  <c r="Q26" i="44"/>
  <c r="J22" i="26"/>
  <c r="P24" i="37" s="1"/>
  <c r="N6" i="40"/>
  <c r="G39" i="26"/>
  <c r="P7" i="40" s="1"/>
  <c r="D50" i="29"/>
  <c r="G32" i="29"/>
  <c r="M10" i="28"/>
  <c r="P26" i="44"/>
  <c r="J20" i="28"/>
  <c r="J20" i="29" s="1"/>
  <c r="I20" i="31"/>
  <c r="H9" i="46" s="1"/>
  <c r="Q26" i="35"/>
  <c r="R26" i="35"/>
  <c r="AB8" i="46"/>
  <c r="I24" i="32"/>
  <c r="AE9" i="46" s="1"/>
  <c r="N12" i="36"/>
  <c r="M15" i="26"/>
  <c r="P13" i="36" s="1"/>
  <c r="H12" i="35"/>
  <c r="I12" i="35"/>
  <c r="J20" i="24"/>
  <c r="G40" i="31"/>
  <c r="S21" i="49" s="1"/>
  <c r="I40" i="22"/>
  <c r="N22" i="49"/>
  <c r="L22" i="40"/>
  <c r="H40" i="24"/>
  <c r="H40" i="25"/>
  <c r="O22" i="40" s="1"/>
  <c r="L15" i="28"/>
  <c r="P11" i="45"/>
  <c r="K15" i="29"/>
  <c r="K15" i="30"/>
  <c r="R11" i="45" s="1"/>
  <c r="K15" i="31"/>
  <c r="S11" i="45" s="1"/>
  <c r="U33" i="49"/>
  <c r="V33" i="49"/>
  <c r="J14" i="32"/>
  <c r="I10" i="45" s="1"/>
  <c r="V21" i="48"/>
  <c r="U21" i="48"/>
  <c r="E54" i="28"/>
  <c r="AA4" i="51"/>
  <c r="W3" i="26"/>
  <c r="J4" i="53" s="1"/>
  <c r="J142" i="59" s="1"/>
  <c r="S3" i="26"/>
  <c r="O3" i="26"/>
  <c r="B4" i="53" s="1"/>
  <c r="B142" i="59" s="1"/>
  <c r="Q3" i="26"/>
  <c r="D4" i="53" s="1"/>
  <c r="D142" i="59" s="1"/>
  <c r="X3" i="26"/>
  <c r="K4" i="53" s="1"/>
  <c r="K142" i="59" s="1"/>
  <c r="Z3" i="26"/>
  <c r="M4" i="53" s="1"/>
  <c r="M142" i="59" s="1"/>
  <c r="V3" i="26"/>
  <c r="I4" i="53" s="1"/>
  <c r="I142" i="59" s="1"/>
  <c r="R3" i="26"/>
  <c r="E4" i="53" s="1"/>
  <c r="E142" i="59" s="1"/>
  <c r="Y3" i="26"/>
  <c r="L4" i="53" s="1"/>
  <c r="L142" i="59" s="1"/>
  <c r="U3" i="26"/>
  <c r="H4" i="53" s="1"/>
  <c r="H142" i="59" s="1"/>
  <c r="T3" i="26"/>
  <c r="G4" i="53" s="1"/>
  <c r="G142" i="59" s="1"/>
  <c r="N13" i="27"/>
  <c r="P3" i="26"/>
  <c r="C4" i="53" s="1"/>
  <c r="C142" i="59" s="1"/>
  <c r="G36" i="29"/>
  <c r="V22" i="46"/>
  <c r="U22" i="46"/>
  <c r="N26" i="35"/>
  <c r="M10" i="26"/>
  <c r="P27" i="35" s="1"/>
  <c r="D53" i="30"/>
  <c r="R32" i="51" s="1"/>
  <c r="H27" i="32"/>
  <c r="T8" i="47" s="1"/>
  <c r="G32" i="32"/>
  <c r="I20" i="30"/>
  <c r="G9" i="46" s="1"/>
  <c r="J16" i="32"/>
  <c r="T24" i="45" s="1"/>
  <c r="M11" i="23"/>
  <c r="M11" i="25" s="1"/>
  <c r="O41" i="35" s="1"/>
  <c r="O40" i="44"/>
  <c r="M40" i="35"/>
  <c r="F52" i="26"/>
  <c r="P20" i="42" s="1"/>
  <c r="N19" i="42"/>
  <c r="O13" i="45"/>
  <c r="M13" i="36"/>
  <c r="AA10" i="36"/>
  <c r="Z10" i="36"/>
  <c r="N23" i="39"/>
  <c r="H46" i="22"/>
  <c r="N21" i="50"/>
  <c r="L21" i="41"/>
  <c r="G46" i="24"/>
  <c r="G46" i="25"/>
  <c r="O21" i="41" s="1"/>
  <c r="I27" i="28"/>
  <c r="I27" i="31" s="1"/>
  <c r="S9" i="47" s="1"/>
  <c r="P8" i="47"/>
  <c r="K20" i="23"/>
  <c r="D10" i="37"/>
  <c r="M9" i="23"/>
  <c r="M9" i="24" s="1"/>
  <c r="N13" i="35" s="1"/>
  <c r="O12" i="44"/>
  <c r="M12" i="35"/>
  <c r="N8" i="38"/>
  <c r="I27" i="26"/>
  <c r="P9" i="38" s="1"/>
  <c r="M5" i="32"/>
  <c r="R40" i="43"/>
  <c r="V36" i="46"/>
  <c r="U36" i="46"/>
  <c r="J21" i="28"/>
  <c r="P9" i="46"/>
  <c r="I21" i="29"/>
  <c r="I21" i="31"/>
  <c r="S9" i="46" s="1"/>
  <c r="I21" i="30"/>
  <c r="R9" i="46" s="1"/>
  <c r="E51" i="28"/>
  <c r="P4" i="51"/>
  <c r="O20" i="51"/>
  <c r="M20" i="42"/>
  <c r="G52" i="23"/>
  <c r="J23" i="25"/>
  <c r="O38" i="37" s="1"/>
  <c r="J17" i="31"/>
  <c r="S38" i="45" s="1"/>
  <c r="P38" i="45"/>
  <c r="O37" i="47"/>
  <c r="M37" i="38"/>
  <c r="N33" i="42"/>
  <c r="J23" i="26"/>
  <c r="P38" i="37" s="1"/>
  <c r="O37" i="37"/>
  <c r="K18" i="24"/>
  <c r="N22" i="39"/>
  <c r="I34" i="26"/>
  <c r="P23" i="39" s="1"/>
  <c r="Q19" i="51"/>
  <c r="F52" i="32"/>
  <c r="T20" i="51" s="1"/>
  <c r="I30" i="28"/>
  <c r="AA8" i="47"/>
  <c r="H30" i="29"/>
  <c r="H30" i="31"/>
  <c r="AD8" i="47" s="1"/>
  <c r="H30" i="30"/>
  <c r="AC8" i="47" s="1"/>
  <c r="K36" i="22"/>
  <c r="Y10" i="48"/>
  <c r="U10" i="39"/>
  <c r="N7" i="39"/>
  <c r="H33" i="26"/>
  <c r="P8" i="39" s="1"/>
  <c r="O8" i="48"/>
  <c r="M8" i="39"/>
  <c r="I33" i="23"/>
  <c r="H33" i="24"/>
  <c r="H33" i="25"/>
  <c r="O8" i="39" s="1"/>
  <c r="K16" i="25"/>
  <c r="O25" i="36" s="1"/>
  <c r="AB4" i="50"/>
  <c r="E48" i="32"/>
  <c r="AE5" i="50" s="1"/>
  <c r="L8" i="32"/>
  <c r="I12" i="44" s="1"/>
  <c r="H48" i="22"/>
  <c r="Y7" i="50"/>
  <c r="U7" i="41"/>
  <c r="I9" i="38"/>
  <c r="H9" i="38"/>
  <c r="K32" i="22"/>
  <c r="C10" i="39"/>
  <c r="D51" i="31"/>
  <c r="S4" i="51" s="1"/>
  <c r="D51" i="29"/>
  <c r="F4" i="50"/>
  <c r="E44" i="32"/>
  <c r="G54" i="22"/>
  <c r="Y6" i="51"/>
  <c r="U6" i="42"/>
  <c r="F41" i="29"/>
  <c r="Q11" i="37"/>
  <c r="R11" i="37"/>
  <c r="R20" i="41"/>
  <c r="Q20" i="41"/>
  <c r="O33" i="51"/>
  <c r="M33" i="42"/>
  <c r="F53" i="23"/>
  <c r="F53" i="25" s="1"/>
  <c r="O34" i="42" s="1"/>
  <c r="Q25" i="36"/>
  <c r="J28" i="24"/>
  <c r="L28" i="22"/>
  <c r="N25" i="47"/>
  <c r="L25" i="38"/>
  <c r="K28" i="23"/>
  <c r="Q22" i="39"/>
  <c r="R22" i="39"/>
  <c r="I34" i="25"/>
  <c r="O23" i="39" s="1"/>
  <c r="E9" i="37"/>
  <c r="J20" i="26"/>
  <c r="G10" i="37" s="1"/>
  <c r="Z9" i="47"/>
  <c r="V9" i="38"/>
  <c r="L14" i="24"/>
  <c r="O7" i="49"/>
  <c r="M7" i="40"/>
  <c r="H39" i="23"/>
  <c r="G39" i="24"/>
  <c r="G39" i="25"/>
  <c r="O7" i="40" s="1"/>
  <c r="R6" i="40"/>
  <c r="Q6" i="40"/>
  <c r="L9" i="28"/>
  <c r="L9" i="31" s="1"/>
  <c r="S12" i="44" s="1"/>
  <c r="P11" i="44"/>
  <c r="K9" i="30"/>
  <c r="R11" i="44" s="1"/>
  <c r="V10" i="45"/>
  <c r="U10" i="45"/>
  <c r="I38" i="22"/>
  <c r="C8" i="40"/>
  <c r="AF9" i="45"/>
  <c r="AG9" i="45"/>
  <c r="D50" i="30"/>
  <c r="G4" i="51" s="1"/>
  <c r="D5" i="51"/>
  <c r="D5" i="42"/>
  <c r="E50" i="28"/>
  <c r="E50" i="31" s="1"/>
  <c r="H5" i="51" s="1"/>
  <c r="F50" i="23"/>
  <c r="E50" i="24"/>
  <c r="E50" i="25"/>
  <c r="F5" i="42" s="1"/>
  <c r="Q33" i="41"/>
  <c r="R33" i="41"/>
  <c r="E54" i="26"/>
  <c r="Y5" i="42" s="1"/>
  <c r="W4" i="42"/>
  <c r="F44" i="28"/>
  <c r="F44" i="30" s="1"/>
  <c r="G6" i="50" s="1"/>
  <c r="E5" i="50"/>
  <c r="E44" i="30"/>
  <c r="G5" i="50" s="1"/>
  <c r="N13" i="44"/>
  <c r="L13" i="35"/>
  <c r="I26" i="28"/>
  <c r="H26" i="30"/>
  <c r="G8" i="47" s="1"/>
  <c r="H26" i="31"/>
  <c r="H8" i="47" s="1"/>
  <c r="H26" i="29"/>
  <c r="G38" i="28"/>
  <c r="H27" i="31"/>
  <c r="S8" i="47" s="1"/>
  <c r="E6" i="40"/>
  <c r="G38" i="26"/>
  <c r="G7" i="40" s="1"/>
  <c r="D7" i="40"/>
  <c r="H38" i="23"/>
  <c r="H38" i="24" s="1"/>
  <c r="V32" i="50"/>
  <c r="U32" i="50"/>
  <c r="K18" i="28"/>
  <c r="K18" i="30" s="1"/>
  <c r="AA10" i="45"/>
  <c r="J18" i="30"/>
  <c r="AC10" i="45" s="1"/>
  <c r="J18" i="29"/>
  <c r="J18" i="31"/>
  <c r="AD10" i="45" s="1"/>
  <c r="G46" i="28"/>
  <c r="P20" i="50"/>
  <c r="J20" i="25"/>
  <c r="F10" i="37" s="1"/>
  <c r="G40" i="29"/>
  <c r="J39" i="22"/>
  <c r="N9" i="49"/>
  <c r="L9" i="40"/>
  <c r="L22" i="22"/>
  <c r="N25" i="46"/>
  <c r="L25" i="37"/>
  <c r="Q5" i="49"/>
  <c r="F39" i="32"/>
  <c r="T6" i="49" s="1"/>
  <c r="Q8" i="38"/>
  <c r="R8" i="38"/>
  <c r="Y9" i="49"/>
  <c r="U9" i="40"/>
  <c r="J42" i="22"/>
  <c r="Q3" i="51"/>
  <c r="D51" i="32"/>
  <c r="T4" i="51" s="1"/>
  <c r="U34" i="48"/>
  <c r="V34" i="48"/>
  <c r="H4" i="42"/>
  <c r="I4" i="42"/>
  <c r="R23" i="38"/>
  <c r="Q23" i="38"/>
  <c r="H33" i="28"/>
  <c r="H33" i="31" s="1"/>
  <c r="S8" i="48" s="1"/>
  <c r="P7" i="48"/>
  <c r="A50" i="30"/>
  <c r="A50" i="31" s="1"/>
  <c r="A50" i="32" s="1"/>
  <c r="A44" i="31"/>
  <c r="A44" i="32" s="1"/>
  <c r="R24" i="36"/>
  <c r="Q24" i="36"/>
  <c r="W7" i="39"/>
  <c r="H36" i="26"/>
  <c r="Y8" i="39" s="1"/>
  <c r="I34" i="28"/>
  <c r="P22" i="48"/>
  <c r="H34" i="31"/>
  <c r="S22" i="48" s="1"/>
  <c r="D54" i="29"/>
  <c r="K33" i="22"/>
  <c r="N10" i="48"/>
  <c r="L10" i="39"/>
  <c r="H11" i="36"/>
  <c r="I11" i="36"/>
  <c r="E53" i="26"/>
  <c r="P33" i="42" s="1"/>
  <c r="N36" i="49"/>
  <c r="L36" i="40"/>
  <c r="E51" i="26"/>
  <c r="P5" i="42" s="1"/>
  <c r="O4" i="42"/>
  <c r="R4" i="42"/>
  <c r="Q4" i="42"/>
  <c r="N6" i="41"/>
  <c r="AA7" i="39"/>
  <c r="Z7" i="39"/>
  <c r="H9" i="37"/>
  <c r="I9" i="37"/>
  <c r="J18" i="32"/>
  <c r="AE10" i="45" s="1"/>
  <c r="AB9" i="45"/>
  <c r="H26" i="32"/>
  <c r="Q5" i="41"/>
  <c r="R5" i="41"/>
  <c r="Z4" i="42"/>
  <c r="AA4" i="42"/>
  <c r="N21" i="40"/>
  <c r="H40" i="26"/>
  <c r="P22" i="40" s="1"/>
  <c r="Q6" i="48"/>
  <c r="G33" i="32"/>
  <c r="T7" i="48" s="1"/>
  <c r="J22" i="25"/>
  <c r="O24" i="37" s="1"/>
  <c r="V25" i="44"/>
  <c r="U25" i="44"/>
  <c r="Q10" i="45"/>
  <c r="K15" i="32"/>
  <c r="T11" i="45" s="1"/>
  <c r="P35" i="48"/>
  <c r="G35" i="30"/>
  <c r="R35" i="48" s="1"/>
  <c r="G35" i="31"/>
  <c r="S35" i="48" s="1"/>
  <c r="G35" i="29"/>
  <c r="L21" i="23"/>
  <c r="O11" i="46"/>
  <c r="M11" i="37"/>
  <c r="G39" i="28"/>
  <c r="P6" i="49"/>
  <c r="AB3" i="51"/>
  <c r="D54" i="32"/>
  <c r="AE4" i="51" s="1"/>
  <c r="J24" i="32"/>
  <c r="AE10" i="46" s="1"/>
  <c r="H36" i="28"/>
  <c r="AA8" i="48" s="1"/>
  <c r="AA7" i="48"/>
  <c r="F47" i="28"/>
  <c r="O34" i="50"/>
  <c r="M34" i="41"/>
  <c r="G47" i="23"/>
  <c r="M15" i="24"/>
  <c r="N13" i="36" s="1"/>
  <c r="AF10" i="44"/>
  <c r="AG10" i="44"/>
  <c r="F52" i="28"/>
  <c r="F52" i="29" s="1"/>
  <c r="P19" i="51"/>
  <c r="Q34" i="48"/>
  <c r="G35" i="32"/>
  <c r="T35" i="48" s="1"/>
  <c r="Z5" i="51"/>
  <c r="V5" i="42"/>
  <c r="F54" i="23"/>
  <c r="K9" i="29"/>
  <c r="J16" i="31"/>
  <c r="S24" i="45" s="1"/>
  <c r="H34" i="30"/>
  <c r="R22" i="48" s="1"/>
  <c r="F38" i="30"/>
  <c r="G6" i="49" s="1"/>
  <c r="I28" i="29"/>
  <c r="M6" i="31"/>
  <c r="W6" i="26"/>
  <c r="J7" i="53" s="1"/>
  <c r="J145" i="59" s="1"/>
  <c r="O6" i="26"/>
  <c r="B7" i="53" s="1"/>
  <c r="B145" i="59" s="1"/>
  <c r="V6" i="26"/>
  <c r="I7" i="53" s="1"/>
  <c r="I145" i="59" s="1"/>
  <c r="X6" i="26"/>
  <c r="K7" i="53" s="1"/>
  <c r="K145" i="59" s="1"/>
  <c r="U6" i="26"/>
  <c r="H7" i="53" s="1"/>
  <c r="H145" i="59" s="1"/>
  <c r="T6" i="26"/>
  <c r="G7" i="53" s="1"/>
  <c r="G145" i="59" s="1"/>
  <c r="S6" i="26"/>
  <c r="F7" i="53" s="1"/>
  <c r="F145" i="59" s="1"/>
  <c r="P6" i="26"/>
  <c r="C7" i="53" s="1"/>
  <c r="C145" i="59" s="1"/>
  <c r="W13" i="27"/>
  <c r="Z6" i="26"/>
  <c r="M7" i="53" s="1"/>
  <c r="M145" i="59" s="1"/>
  <c r="R6" i="26"/>
  <c r="E7" i="53" s="1"/>
  <c r="E145" i="59" s="1"/>
  <c r="Y6" i="26"/>
  <c r="L7" i="53" s="1"/>
  <c r="L145" i="59" s="1"/>
  <c r="Q6" i="26"/>
  <c r="D7" i="53" s="1"/>
  <c r="D145" i="59" s="1"/>
  <c r="I23" i="30"/>
  <c r="R37" i="46" s="1"/>
  <c r="I35" i="26"/>
  <c r="P37" i="39" s="1"/>
  <c r="J17" i="32"/>
  <c r="T38" i="45" s="1"/>
  <c r="L17" i="23"/>
  <c r="L17" i="25" s="1"/>
  <c r="O40" i="36" s="1"/>
  <c r="G47" i="26"/>
  <c r="P35" i="41" s="1"/>
  <c r="H41" i="26"/>
  <c r="P36" i="40" s="1"/>
  <c r="I23" i="32"/>
  <c r="T37" i="46" s="1"/>
  <c r="J35" i="22"/>
  <c r="K17" i="25"/>
  <c r="O39" i="36" s="1"/>
  <c r="I29" i="25"/>
  <c r="O37" i="38" s="1"/>
  <c r="L11" i="25"/>
  <c r="O40" i="35" s="1"/>
  <c r="L11" i="28"/>
  <c r="K11" i="29"/>
  <c r="Q39" i="44" s="1"/>
  <c r="K11" i="31"/>
  <c r="S39" i="44" s="1"/>
  <c r="K11" i="30"/>
  <c r="R39" i="44" s="1"/>
  <c r="K17" i="24"/>
  <c r="N39" i="36" s="1"/>
  <c r="I29" i="24"/>
  <c r="N37" i="38" s="1"/>
  <c r="K17" i="28"/>
  <c r="P39" i="45" s="1"/>
  <c r="J17" i="29"/>
  <c r="Q38" i="45" s="1"/>
  <c r="G53" i="22"/>
  <c r="H29" i="32"/>
  <c r="T36" i="47" s="1"/>
  <c r="H47" i="22"/>
  <c r="L23" i="22"/>
  <c r="M17" i="22"/>
  <c r="I41" i="22"/>
  <c r="H41" i="24"/>
  <c r="N36" i="40" s="1"/>
  <c r="H41" i="25"/>
  <c r="O36" i="40" s="1"/>
  <c r="K29" i="22"/>
  <c r="J29" i="23"/>
  <c r="J17" i="30"/>
  <c r="R38" i="45" s="1"/>
  <c r="S5" i="26"/>
  <c r="F6" i="53" s="1"/>
  <c r="F144" i="59" s="1"/>
  <c r="Z5" i="26"/>
  <c r="M6" i="53" s="1"/>
  <c r="M144" i="59" s="1"/>
  <c r="R5" i="26"/>
  <c r="E6" i="53" s="1"/>
  <c r="E144" i="59" s="1"/>
  <c r="Y5" i="26"/>
  <c r="L6" i="53" s="1"/>
  <c r="L144" i="59" s="1"/>
  <c r="Q5" i="26"/>
  <c r="D6" i="53" s="1"/>
  <c r="D144" i="59" s="1"/>
  <c r="X5" i="26"/>
  <c r="K6" i="53" s="1"/>
  <c r="K144" i="59" s="1"/>
  <c r="P5" i="26"/>
  <c r="C6" i="53" s="1"/>
  <c r="C144" i="59" s="1"/>
  <c r="W5" i="26"/>
  <c r="J6" i="53" s="1"/>
  <c r="J144" i="59" s="1"/>
  <c r="O5" i="26"/>
  <c r="B6" i="53" s="1"/>
  <c r="B144" i="59" s="1"/>
  <c r="V5" i="26"/>
  <c r="I6" i="53" s="1"/>
  <c r="I144" i="59" s="1"/>
  <c r="U5" i="26"/>
  <c r="H6" i="53" s="1"/>
  <c r="H144" i="59" s="1"/>
  <c r="T5" i="26"/>
  <c r="G6" i="53" s="1"/>
  <c r="G144" i="59" s="1"/>
  <c r="K23" i="23"/>
  <c r="K17" i="26"/>
  <c r="P39" i="36" s="1"/>
  <c r="K11" i="32"/>
  <c r="T39" i="44" s="1"/>
  <c r="J23" i="28"/>
  <c r="P38" i="46" s="1"/>
  <c r="I23" i="29"/>
  <c r="I29" i="28"/>
  <c r="P37" i="47" s="1"/>
  <c r="H29" i="31"/>
  <c r="S36" i="47" s="1"/>
  <c r="L11" i="24"/>
  <c r="H29" i="29"/>
  <c r="Q36" i="47" s="1"/>
  <c r="Y7" i="26"/>
  <c r="M4" i="32"/>
  <c r="M6" i="29"/>
  <c r="M2" i="30"/>
  <c r="M2" i="29"/>
  <c r="M2" i="32"/>
  <c r="M3" i="32"/>
  <c r="M5" i="30"/>
  <c r="M3" i="31"/>
  <c r="M3" i="29"/>
  <c r="M3" i="30"/>
  <c r="M5" i="31"/>
  <c r="I8" i="51" l="1"/>
  <c r="I8" i="49"/>
  <c r="I8" i="50"/>
  <c r="I8" i="48"/>
  <c r="I8" i="47"/>
  <c r="J7" i="48"/>
  <c r="K7" i="48"/>
  <c r="J10" i="45"/>
  <c r="K10" i="45"/>
  <c r="J7" i="49"/>
  <c r="K7" i="49"/>
  <c r="J7" i="50"/>
  <c r="K7" i="50"/>
  <c r="J7" i="51"/>
  <c r="K7" i="51"/>
  <c r="J9" i="46"/>
  <c r="K9" i="46"/>
  <c r="K7" i="47"/>
  <c r="J7" i="47"/>
  <c r="V40" i="43"/>
  <c r="M10" i="32"/>
  <c r="T27" i="44" s="1"/>
  <c r="J28" i="31"/>
  <c r="S24" i="47" s="1"/>
  <c r="H6" i="41"/>
  <c r="Z11" i="37"/>
  <c r="F54" i="26"/>
  <c r="Y6" i="42" s="1"/>
  <c r="R34" i="41"/>
  <c r="L21" i="26"/>
  <c r="P12" i="37" s="1"/>
  <c r="G48" i="26"/>
  <c r="Y7" i="41" s="1"/>
  <c r="Z7" i="41" s="1"/>
  <c r="I13" i="27"/>
  <c r="I14" i="27" s="1"/>
  <c r="B3" i="52" s="1"/>
  <c r="AA9" i="38"/>
  <c r="L16" i="24"/>
  <c r="H33" i="32"/>
  <c r="T8" i="48" s="1"/>
  <c r="V8" i="48" s="1"/>
  <c r="K23" i="26"/>
  <c r="P39" i="37" s="1"/>
  <c r="R39" i="37" s="1"/>
  <c r="M104" i="59"/>
  <c r="F47" i="32"/>
  <c r="T34" i="50" s="1"/>
  <c r="U34" i="50" s="1"/>
  <c r="U20" i="50"/>
  <c r="R6" i="41"/>
  <c r="M11" i="24"/>
  <c r="N41" i="35" s="1"/>
  <c r="U26" i="43"/>
  <c r="G42" i="32"/>
  <c r="AE7" i="49" s="1"/>
  <c r="AG7" i="49" s="1"/>
  <c r="V23" i="47"/>
  <c r="AG12" i="43"/>
  <c r="Z11" i="36"/>
  <c r="AA4" i="26"/>
  <c r="N5" i="53" s="1"/>
  <c r="N143" i="59" s="1"/>
  <c r="Z14" i="27"/>
  <c r="Q14" i="27"/>
  <c r="G39" i="32"/>
  <c r="T7" i="49" s="1"/>
  <c r="V7" i="49" s="1"/>
  <c r="L9" i="29"/>
  <c r="Q12" i="44" s="1"/>
  <c r="F53" i="26"/>
  <c r="P34" i="42" s="1"/>
  <c r="Q34" i="42" s="1"/>
  <c r="H38" i="26"/>
  <c r="G8" i="40" s="1"/>
  <c r="H8" i="40" s="1"/>
  <c r="AA6" i="41"/>
  <c r="Z12" i="35"/>
  <c r="G48" i="25"/>
  <c r="X7" i="41" s="1"/>
  <c r="F53" i="24"/>
  <c r="N34" i="42" s="1"/>
  <c r="G45" i="26"/>
  <c r="P7" i="41" s="1"/>
  <c r="Q7" i="41" s="1"/>
  <c r="M8" i="31"/>
  <c r="H13" i="44" s="1"/>
  <c r="J20" i="30"/>
  <c r="G10" i="46" s="1"/>
  <c r="H40" i="31"/>
  <c r="S22" i="49" s="1"/>
  <c r="H40" i="29"/>
  <c r="M9" i="25"/>
  <c r="O13" i="35" s="1"/>
  <c r="L24" i="26"/>
  <c r="Y12" i="37" s="1"/>
  <c r="Z12" i="37" s="1"/>
  <c r="I35" i="24"/>
  <c r="J35" i="26" s="1"/>
  <c r="P38" i="39" s="1"/>
  <c r="F48" i="30"/>
  <c r="AC6" i="50" s="1"/>
  <c r="H14" i="27"/>
  <c r="M12" i="26"/>
  <c r="Y13" i="35" s="1"/>
  <c r="AA13" i="35" s="1"/>
  <c r="AA14" i="35" s="1"/>
  <c r="C7" i="52" s="1"/>
  <c r="J30" i="24"/>
  <c r="W10" i="38" s="1"/>
  <c r="Q24" i="38"/>
  <c r="R35" i="40"/>
  <c r="Q27" i="27"/>
  <c r="Q28" i="27" s="1"/>
  <c r="L8" i="53"/>
  <c r="G46" i="32"/>
  <c r="T21" i="50" s="1"/>
  <c r="V21" i="50" s="1"/>
  <c r="J22" i="31"/>
  <c r="S24" i="46" s="1"/>
  <c r="M73" i="59"/>
  <c r="J8" i="53"/>
  <c r="J22" i="29"/>
  <c r="Q24" i="46" s="1"/>
  <c r="AF13" i="43"/>
  <c r="AF14" i="43" s="1"/>
  <c r="M94" i="59"/>
  <c r="J12" i="43"/>
  <c r="M65" i="59"/>
  <c r="K22" i="25"/>
  <c r="O25" i="37" s="1"/>
  <c r="M78" i="59"/>
  <c r="E50" i="30"/>
  <c r="G5" i="51" s="1"/>
  <c r="K24" i="30"/>
  <c r="AC11" i="46" s="1"/>
  <c r="E50" i="29"/>
  <c r="F5" i="51" s="1"/>
  <c r="H38" i="25"/>
  <c r="F8" i="40" s="1"/>
  <c r="AG14" i="43"/>
  <c r="B7" i="34" s="1"/>
  <c r="B137" i="59" s="1"/>
  <c r="L105" i="59"/>
  <c r="G8" i="53"/>
  <c r="Q41" i="27"/>
  <c r="Q42" i="27" s="1"/>
  <c r="J30" i="26"/>
  <c r="Y10" i="38" s="1"/>
  <c r="Z10" i="38" s="1"/>
  <c r="G42" i="29"/>
  <c r="AB7" i="49" s="1"/>
  <c r="L17" i="24"/>
  <c r="N40" i="36" s="1"/>
  <c r="B118" i="59"/>
  <c r="AB13" i="43"/>
  <c r="M80" i="59"/>
  <c r="Q13" i="43"/>
  <c r="M77" i="59"/>
  <c r="S13" i="43"/>
  <c r="M93" i="59"/>
  <c r="K17" i="29"/>
  <c r="Q39" i="45" s="1"/>
  <c r="J34" i="25"/>
  <c r="O24" i="39" s="1"/>
  <c r="D146" i="59"/>
  <c r="K146" i="59"/>
  <c r="U12" i="43"/>
  <c r="S41" i="43"/>
  <c r="M95" i="59"/>
  <c r="I13" i="43"/>
  <c r="K13" i="43" s="1"/>
  <c r="M100" i="59"/>
  <c r="L146" i="59"/>
  <c r="M12" i="24"/>
  <c r="W13" i="35" s="1"/>
  <c r="T41" i="43"/>
  <c r="V41" i="43" s="1"/>
  <c r="V42" i="43" s="1"/>
  <c r="B6" i="34" s="1"/>
  <c r="B136" i="59" s="1"/>
  <c r="M103" i="59"/>
  <c r="G146" i="59"/>
  <c r="F13" i="43"/>
  <c r="M76" i="59"/>
  <c r="AC13" i="43"/>
  <c r="M88" i="59"/>
  <c r="B119" i="59"/>
  <c r="H146" i="59"/>
  <c r="J146" i="59"/>
  <c r="G13" i="43"/>
  <c r="M84" i="59"/>
  <c r="AD13" i="43"/>
  <c r="M96" i="59"/>
  <c r="B120" i="59"/>
  <c r="E146" i="59"/>
  <c r="H13" i="43"/>
  <c r="M92" i="59"/>
  <c r="Q41" i="43"/>
  <c r="M79" i="59"/>
  <c r="I146" i="59"/>
  <c r="R41" i="43"/>
  <c r="M87" i="59"/>
  <c r="R13" i="43"/>
  <c r="M85" i="59"/>
  <c r="T27" i="43"/>
  <c r="V27" i="43" s="1"/>
  <c r="V28" i="43" s="1"/>
  <c r="B5" i="34" s="1"/>
  <c r="B135" i="59" s="1"/>
  <c r="M102" i="59"/>
  <c r="M146" i="59"/>
  <c r="T13" i="43"/>
  <c r="V13" i="43" s="1"/>
  <c r="V14" i="43" s="1"/>
  <c r="B4" i="34" s="1"/>
  <c r="B134" i="59" s="1"/>
  <c r="M101" i="59"/>
  <c r="C146" i="59"/>
  <c r="N7" i="41"/>
  <c r="Q20" i="51"/>
  <c r="AC11" i="45"/>
  <c r="E8" i="40"/>
  <c r="O35" i="50"/>
  <c r="M35" i="41"/>
  <c r="G47" i="28"/>
  <c r="G47" i="31" s="1"/>
  <c r="S35" i="50" s="1"/>
  <c r="H47" i="23"/>
  <c r="H47" i="25" s="1"/>
  <c r="O36" i="41" s="1"/>
  <c r="AB4" i="51"/>
  <c r="E54" i="32"/>
  <c r="AE5" i="51" s="1"/>
  <c r="Y10" i="49"/>
  <c r="U10" i="40"/>
  <c r="K42" i="22"/>
  <c r="H38" i="28"/>
  <c r="H38" i="31" s="1"/>
  <c r="H8" i="49" s="1"/>
  <c r="G38" i="31"/>
  <c r="H7" i="49" s="1"/>
  <c r="G38" i="30"/>
  <c r="G7" i="49" s="1"/>
  <c r="G38" i="29"/>
  <c r="O25" i="47"/>
  <c r="M25" i="38"/>
  <c r="N24" i="38"/>
  <c r="K28" i="26"/>
  <c r="P25" i="38" s="1"/>
  <c r="H54" i="22"/>
  <c r="Y7" i="51"/>
  <c r="U7" i="42"/>
  <c r="Q4" i="51"/>
  <c r="E51" i="32"/>
  <c r="T5" i="51" s="1"/>
  <c r="H33" i="29"/>
  <c r="O9" i="48"/>
  <c r="M9" i="39"/>
  <c r="J33" i="23"/>
  <c r="I33" i="25"/>
  <c r="O9" i="39" s="1"/>
  <c r="I33" i="24"/>
  <c r="L36" i="22"/>
  <c r="Y11" i="48"/>
  <c r="U11" i="39"/>
  <c r="F51" i="28"/>
  <c r="F51" i="30" s="1"/>
  <c r="R6" i="51" s="1"/>
  <c r="P5" i="51"/>
  <c r="K21" i="28"/>
  <c r="P10" i="46"/>
  <c r="J21" i="30"/>
  <c r="R10" i="46" s="1"/>
  <c r="J21" i="31"/>
  <c r="S10" i="46" s="1"/>
  <c r="J21" i="29"/>
  <c r="H46" i="26"/>
  <c r="P22" i="41" s="1"/>
  <c r="N21" i="41"/>
  <c r="J34" i="26"/>
  <c r="P24" i="39" s="1"/>
  <c r="V8" i="47"/>
  <c r="U8" i="47"/>
  <c r="AB7" i="48"/>
  <c r="H36" i="32"/>
  <c r="AE8" i="48" s="1"/>
  <c r="N22" i="40"/>
  <c r="I40" i="26"/>
  <c r="P23" i="40" s="1"/>
  <c r="Q13" i="36"/>
  <c r="Q14" i="36" s="1"/>
  <c r="R13" i="36"/>
  <c r="R14" i="36" s="1"/>
  <c r="D4" i="52" s="1"/>
  <c r="V27" i="44"/>
  <c r="U27" i="44"/>
  <c r="V21" i="49"/>
  <c r="U21" i="49"/>
  <c r="AB11" i="46"/>
  <c r="L34" i="22"/>
  <c r="N25" i="48"/>
  <c r="L25" i="39"/>
  <c r="V23" i="46"/>
  <c r="U23" i="46"/>
  <c r="AA7" i="40"/>
  <c r="Z7" i="40"/>
  <c r="AG11" i="44"/>
  <c r="AF11" i="44"/>
  <c r="I45" i="22"/>
  <c r="N8" i="50"/>
  <c r="L8" i="41"/>
  <c r="Q25" i="45"/>
  <c r="F52" i="31"/>
  <c r="S20" i="51" s="1"/>
  <c r="H52" i="22"/>
  <c r="N21" i="51"/>
  <c r="L21" i="42"/>
  <c r="G52" i="24"/>
  <c r="G52" i="25"/>
  <c r="O21" i="42" s="1"/>
  <c r="AG6" i="49"/>
  <c r="AF6" i="49"/>
  <c r="N26" i="36"/>
  <c r="M16" i="26"/>
  <c r="P27" i="36" s="1"/>
  <c r="O10" i="47"/>
  <c r="M10" i="38"/>
  <c r="J27" i="24"/>
  <c r="J27" i="25"/>
  <c r="O10" i="38" s="1"/>
  <c r="K27" i="23"/>
  <c r="I27" i="29"/>
  <c r="L22" i="23"/>
  <c r="L22" i="25" s="1"/>
  <c r="O26" i="37" s="1"/>
  <c r="O25" i="46"/>
  <c r="M25" i="37"/>
  <c r="H36" i="31"/>
  <c r="AD8" i="48" s="1"/>
  <c r="Z9" i="48"/>
  <c r="V9" i="39"/>
  <c r="I36" i="28"/>
  <c r="AA9" i="48" s="1"/>
  <c r="J36" i="23"/>
  <c r="I36" i="24"/>
  <c r="I36" i="25"/>
  <c r="X9" i="39" s="1"/>
  <c r="I13" i="35"/>
  <c r="I14" i="35" s="1"/>
  <c r="C3" i="52" s="1"/>
  <c r="H13" i="35"/>
  <c r="H14" i="35" s="1"/>
  <c r="AB11" i="44"/>
  <c r="L12" i="32"/>
  <c r="AE12" i="44" s="1"/>
  <c r="K20" i="24"/>
  <c r="J20" i="31"/>
  <c r="H10" i="46" s="1"/>
  <c r="AG7" i="48"/>
  <c r="AF7" i="48"/>
  <c r="E8" i="39"/>
  <c r="I32" i="26"/>
  <c r="G9" i="39" s="1"/>
  <c r="D9" i="39"/>
  <c r="J32" i="23"/>
  <c r="I32" i="25"/>
  <c r="F9" i="39" s="1"/>
  <c r="I32" i="24"/>
  <c r="M14" i="24"/>
  <c r="E13" i="36" s="1"/>
  <c r="Q23" i="46"/>
  <c r="J22" i="32"/>
  <c r="T24" i="46" s="1"/>
  <c r="G42" i="30"/>
  <c r="AC7" i="49" s="1"/>
  <c r="Z7" i="50"/>
  <c r="V7" i="41"/>
  <c r="G48" i="28"/>
  <c r="H48" i="23"/>
  <c r="H48" i="24" s="1"/>
  <c r="AA6" i="42"/>
  <c r="Z6" i="42"/>
  <c r="Q24" i="45"/>
  <c r="K16" i="32"/>
  <c r="T25" i="45" s="1"/>
  <c r="D10" i="38"/>
  <c r="Q32" i="51"/>
  <c r="E53" i="32"/>
  <c r="T33" i="51" s="1"/>
  <c r="L18" i="24"/>
  <c r="Q5" i="50"/>
  <c r="F45" i="32"/>
  <c r="T6" i="50" s="1"/>
  <c r="G45" i="28"/>
  <c r="G45" i="29" s="1"/>
  <c r="P6" i="50"/>
  <c r="F45" i="29"/>
  <c r="F45" i="31"/>
  <c r="S6" i="50" s="1"/>
  <c r="F45" i="30"/>
  <c r="R6" i="50" s="1"/>
  <c r="K22" i="26"/>
  <c r="P25" i="37" s="1"/>
  <c r="N37" i="49"/>
  <c r="L37" i="40"/>
  <c r="M11" i="28"/>
  <c r="M11" i="29" s="1"/>
  <c r="Q41" i="44" s="1"/>
  <c r="P40" i="44"/>
  <c r="H8" i="53"/>
  <c r="J29" i="25"/>
  <c r="O38" i="38" s="1"/>
  <c r="O38" i="47"/>
  <c r="M38" i="38"/>
  <c r="G47" i="24"/>
  <c r="N35" i="41" s="1"/>
  <c r="N35" i="51"/>
  <c r="L35" i="42"/>
  <c r="N38" i="48"/>
  <c r="L38" i="39"/>
  <c r="R35" i="41"/>
  <c r="Q35" i="41"/>
  <c r="V35" i="48"/>
  <c r="U35" i="48"/>
  <c r="H39" i="28"/>
  <c r="H39" i="31" s="1"/>
  <c r="S8" i="49" s="1"/>
  <c r="P7" i="49"/>
  <c r="Q35" i="48"/>
  <c r="H35" i="32"/>
  <c r="T36" i="48" s="1"/>
  <c r="R22" i="40"/>
  <c r="Q22" i="40"/>
  <c r="R5" i="42"/>
  <c r="Q5" i="42"/>
  <c r="Q33" i="42"/>
  <c r="R33" i="42"/>
  <c r="J34" i="28"/>
  <c r="P23" i="48"/>
  <c r="I34" i="31"/>
  <c r="S23" i="48" s="1"/>
  <c r="AA8" i="39"/>
  <c r="Z8" i="39"/>
  <c r="M22" i="22"/>
  <c r="N26" i="46"/>
  <c r="L26" i="37"/>
  <c r="H46" i="28"/>
  <c r="H46" i="29" s="1"/>
  <c r="P21" i="50"/>
  <c r="I7" i="40"/>
  <c r="H7" i="40"/>
  <c r="I26" i="32"/>
  <c r="J26" i="28"/>
  <c r="J26" i="31" s="1"/>
  <c r="H10" i="47" s="1"/>
  <c r="I26" i="31"/>
  <c r="H9" i="47" s="1"/>
  <c r="Z5" i="42"/>
  <c r="AA5" i="42"/>
  <c r="F50" i="26"/>
  <c r="G6" i="42" s="1"/>
  <c r="E5" i="42"/>
  <c r="G39" i="29"/>
  <c r="F54" i="25"/>
  <c r="X6" i="42" s="1"/>
  <c r="G38" i="32"/>
  <c r="I48" i="22"/>
  <c r="Y8" i="50"/>
  <c r="U8" i="41"/>
  <c r="AG5" i="50"/>
  <c r="AF5" i="50"/>
  <c r="AA9" i="47"/>
  <c r="I30" i="29"/>
  <c r="I30" i="30"/>
  <c r="AC9" i="47" s="1"/>
  <c r="I30" i="31"/>
  <c r="AD9" i="47" s="1"/>
  <c r="W11" i="36"/>
  <c r="L18" i="26"/>
  <c r="Y12" i="36" s="1"/>
  <c r="R34" i="42"/>
  <c r="R9" i="38"/>
  <c r="Q9" i="38"/>
  <c r="L20" i="23"/>
  <c r="L20" i="24" s="1"/>
  <c r="D11" i="37"/>
  <c r="G46" i="31"/>
  <c r="S21" i="50" s="1"/>
  <c r="Q20" i="42"/>
  <c r="R20" i="42"/>
  <c r="Q11" i="45"/>
  <c r="L15" i="32"/>
  <c r="T12" i="45" s="1"/>
  <c r="P27" i="44"/>
  <c r="M10" i="29"/>
  <c r="Q27" i="44" s="1"/>
  <c r="M10" i="30"/>
  <c r="R27" i="44" s="1"/>
  <c r="M10" i="31"/>
  <c r="S27" i="44" s="1"/>
  <c r="N24" i="39"/>
  <c r="I34" i="30"/>
  <c r="R23" i="48" s="1"/>
  <c r="I12" i="36"/>
  <c r="H12" i="36"/>
  <c r="P35" i="49"/>
  <c r="G41" i="30"/>
  <c r="R35" i="49" s="1"/>
  <c r="G41" i="31"/>
  <c r="S35" i="49" s="1"/>
  <c r="G41" i="29"/>
  <c r="G45" i="25"/>
  <c r="O7" i="41" s="1"/>
  <c r="E13" i="44"/>
  <c r="M8" i="29"/>
  <c r="F13" i="44" s="1"/>
  <c r="L16" i="26"/>
  <c r="P26" i="36" s="1"/>
  <c r="N25" i="36"/>
  <c r="U19" i="51"/>
  <c r="V19" i="51"/>
  <c r="V5" i="50"/>
  <c r="U5" i="50"/>
  <c r="AA6" i="50"/>
  <c r="F48" i="29"/>
  <c r="AB10" i="46"/>
  <c r="K24" i="32"/>
  <c r="AE11" i="46" s="1"/>
  <c r="R37" i="38"/>
  <c r="Q37" i="38"/>
  <c r="N9" i="38"/>
  <c r="J27" i="26"/>
  <c r="P10" i="38" s="1"/>
  <c r="I27" i="30"/>
  <c r="R9" i="47" s="1"/>
  <c r="O23" i="49"/>
  <c r="M23" i="40"/>
  <c r="J40" i="23"/>
  <c r="E7" i="41"/>
  <c r="H44" i="26"/>
  <c r="G8" i="41" s="1"/>
  <c r="E51" i="31"/>
  <c r="S5" i="51" s="1"/>
  <c r="V33" i="50"/>
  <c r="U33" i="50"/>
  <c r="I36" i="26"/>
  <c r="Y9" i="39" s="1"/>
  <c r="W8" i="39"/>
  <c r="P36" i="48"/>
  <c r="H35" i="31"/>
  <c r="S36" i="48" s="1"/>
  <c r="H35" i="29"/>
  <c r="H35" i="30"/>
  <c r="R36" i="48" s="1"/>
  <c r="K28" i="28"/>
  <c r="K28" i="30" s="1"/>
  <c r="R25" i="47" s="1"/>
  <c r="P24" i="47"/>
  <c r="J28" i="29"/>
  <c r="K20" i="25"/>
  <c r="F11" i="37" s="1"/>
  <c r="I40" i="28"/>
  <c r="I40" i="29" s="1"/>
  <c r="P22" i="49"/>
  <c r="J50" i="22"/>
  <c r="C9" i="42"/>
  <c r="G42" i="31"/>
  <c r="AD7" i="49" s="1"/>
  <c r="Z8" i="49"/>
  <c r="V8" i="40"/>
  <c r="H42" i="28"/>
  <c r="AA8" i="49" s="1"/>
  <c r="I42" i="23"/>
  <c r="H42" i="25"/>
  <c r="X8" i="40" s="1"/>
  <c r="H42" i="24"/>
  <c r="N13" i="46"/>
  <c r="L13" i="37"/>
  <c r="J26" i="25"/>
  <c r="F10" i="38" s="1"/>
  <c r="Y13" i="45"/>
  <c r="M18" i="23"/>
  <c r="M18" i="25" s="1"/>
  <c r="X13" i="36" s="1"/>
  <c r="U13" i="36"/>
  <c r="U39" i="44"/>
  <c r="V39" i="44"/>
  <c r="N40" i="46"/>
  <c r="L40" i="37"/>
  <c r="R37" i="39"/>
  <c r="Q37" i="39"/>
  <c r="Q11" i="44"/>
  <c r="L9" i="32"/>
  <c r="T12" i="44" s="1"/>
  <c r="C8" i="53"/>
  <c r="K8" i="53"/>
  <c r="I8" i="53"/>
  <c r="J23" i="32"/>
  <c r="T38" i="46" s="1"/>
  <c r="Q37" i="46"/>
  <c r="Q39" i="36"/>
  <c r="R39" i="36"/>
  <c r="N39" i="47"/>
  <c r="L39" i="38"/>
  <c r="G47" i="25"/>
  <c r="O35" i="41" s="1"/>
  <c r="N36" i="50"/>
  <c r="L36" i="41"/>
  <c r="V37" i="46"/>
  <c r="U37" i="46"/>
  <c r="O40" i="45"/>
  <c r="M40" i="36"/>
  <c r="Q23" i="47"/>
  <c r="J28" i="32"/>
  <c r="T24" i="47" s="1"/>
  <c r="Z6" i="51"/>
  <c r="V6" i="42"/>
  <c r="G54" i="23"/>
  <c r="G52" i="28"/>
  <c r="G52" i="29" s="1"/>
  <c r="P20" i="51"/>
  <c r="M21" i="23"/>
  <c r="M21" i="24" s="1"/>
  <c r="N13" i="37" s="1"/>
  <c r="O12" i="46"/>
  <c r="M12" i="37"/>
  <c r="V11" i="45"/>
  <c r="U11" i="45"/>
  <c r="V7" i="48"/>
  <c r="U7" i="48"/>
  <c r="AF10" i="45"/>
  <c r="AG10" i="45"/>
  <c r="I33" i="28"/>
  <c r="P8" i="48"/>
  <c r="U4" i="51"/>
  <c r="V4" i="51"/>
  <c r="U6" i="49"/>
  <c r="V6" i="49"/>
  <c r="K39" i="22"/>
  <c r="N10" i="49"/>
  <c r="L10" i="40"/>
  <c r="Q21" i="49"/>
  <c r="H40" i="32"/>
  <c r="T22" i="49" s="1"/>
  <c r="K18" i="29"/>
  <c r="AB11" i="45" s="1"/>
  <c r="AA11" i="45"/>
  <c r="K18" i="31"/>
  <c r="AD11" i="45" s="1"/>
  <c r="D8" i="40"/>
  <c r="I38" i="23"/>
  <c r="I38" i="24" s="1"/>
  <c r="D6" i="42"/>
  <c r="G50" i="23"/>
  <c r="F50" i="25"/>
  <c r="F6" i="42" s="1"/>
  <c r="F50" i="24"/>
  <c r="G39" i="31"/>
  <c r="S7" i="49" s="1"/>
  <c r="H39" i="26"/>
  <c r="P8" i="40" s="1"/>
  <c r="N7" i="40"/>
  <c r="E12" i="36"/>
  <c r="M14" i="26"/>
  <c r="G13" i="36" s="1"/>
  <c r="I10" i="37"/>
  <c r="H10" i="37"/>
  <c r="K28" i="25"/>
  <c r="O25" i="38" s="1"/>
  <c r="M28" i="22"/>
  <c r="N26" i="47"/>
  <c r="L26" i="38"/>
  <c r="L28" i="23"/>
  <c r="I26" i="30"/>
  <c r="G9" i="47" s="1"/>
  <c r="F54" i="24"/>
  <c r="L32" i="22"/>
  <c r="C11" i="39"/>
  <c r="W7" i="41"/>
  <c r="N8" i="39"/>
  <c r="I33" i="26"/>
  <c r="P9" i="39" s="1"/>
  <c r="V20" i="51"/>
  <c r="U20" i="51"/>
  <c r="Q23" i="39"/>
  <c r="R23" i="39"/>
  <c r="Q9" i="46"/>
  <c r="J21" i="32"/>
  <c r="T10" i="46" s="1"/>
  <c r="O13" i="44"/>
  <c r="M13" i="35"/>
  <c r="G46" i="30"/>
  <c r="R21" i="50" s="1"/>
  <c r="I46" i="22"/>
  <c r="N22" i="50"/>
  <c r="L22" i="41"/>
  <c r="H46" i="24"/>
  <c r="H46" i="25"/>
  <c r="O22" i="41" s="1"/>
  <c r="O41" i="44"/>
  <c r="M41" i="35"/>
  <c r="U24" i="45"/>
  <c r="V24" i="45"/>
  <c r="AA3" i="26"/>
  <c r="N4" i="53" s="1"/>
  <c r="N142" i="59" s="1"/>
  <c r="F4" i="53"/>
  <c r="F142" i="59" s="1"/>
  <c r="F146" i="59" s="1"/>
  <c r="F54" i="28"/>
  <c r="AA6" i="51" s="1"/>
  <c r="AA5" i="51"/>
  <c r="E54" i="31"/>
  <c r="AD5" i="51" s="1"/>
  <c r="E54" i="30"/>
  <c r="AC5" i="51" s="1"/>
  <c r="E54" i="29"/>
  <c r="Q22" i="49"/>
  <c r="J40" i="22"/>
  <c r="N23" i="49"/>
  <c r="L23" i="40"/>
  <c r="I40" i="24"/>
  <c r="I40" i="25"/>
  <c r="O23" i="40" s="1"/>
  <c r="E10" i="37"/>
  <c r="K20" i="26"/>
  <c r="G11" i="37" s="1"/>
  <c r="AG9" i="46"/>
  <c r="AF9" i="46"/>
  <c r="K20" i="28"/>
  <c r="K20" i="29" s="1"/>
  <c r="H32" i="32"/>
  <c r="F4" i="51"/>
  <c r="E50" i="32"/>
  <c r="L30" i="22"/>
  <c r="Y11" i="47"/>
  <c r="U11" i="38"/>
  <c r="K30" i="23"/>
  <c r="K30" i="25" s="1"/>
  <c r="X11" i="38" s="1"/>
  <c r="J20" i="32"/>
  <c r="I10" i="46" s="1"/>
  <c r="Q21" i="41"/>
  <c r="R21" i="41"/>
  <c r="E9" i="38"/>
  <c r="J26" i="26"/>
  <c r="G10" i="38" s="1"/>
  <c r="H41" i="28"/>
  <c r="O36" i="49"/>
  <c r="M36" i="40"/>
  <c r="I41" i="23"/>
  <c r="I41" i="24" s="1"/>
  <c r="N37" i="40" s="1"/>
  <c r="I32" i="28"/>
  <c r="I32" i="30" s="1"/>
  <c r="G9" i="48" s="1"/>
  <c r="V34" i="49"/>
  <c r="U34" i="49"/>
  <c r="N20" i="42"/>
  <c r="G52" i="26"/>
  <c r="P21" i="42" s="1"/>
  <c r="I34" i="32"/>
  <c r="T23" i="48" s="1"/>
  <c r="AB5" i="50"/>
  <c r="F48" i="32"/>
  <c r="AE6" i="50" s="1"/>
  <c r="V11" i="44"/>
  <c r="U11" i="44"/>
  <c r="L24" i="25"/>
  <c r="X12" i="37" s="1"/>
  <c r="Y13" i="46"/>
  <c r="U13" i="37"/>
  <c r="M24" i="23"/>
  <c r="M24" i="24" s="1"/>
  <c r="W13" i="37" s="1"/>
  <c r="E51" i="29"/>
  <c r="E51" i="30"/>
  <c r="R5" i="51" s="1"/>
  <c r="V22" i="48"/>
  <c r="U22" i="48"/>
  <c r="H36" i="30"/>
  <c r="AC8" i="48" s="1"/>
  <c r="D13" i="45"/>
  <c r="D13" i="36"/>
  <c r="I35" i="28"/>
  <c r="O37" i="48"/>
  <c r="M37" i="39"/>
  <c r="J35" i="23"/>
  <c r="J35" i="25" s="1"/>
  <c r="O38" i="39" s="1"/>
  <c r="H32" i="29"/>
  <c r="D7" i="41"/>
  <c r="H44" i="23"/>
  <c r="H44" i="25" s="1"/>
  <c r="F8" i="41" s="1"/>
  <c r="K22" i="28"/>
  <c r="P24" i="46"/>
  <c r="V13" i="35"/>
  <c r="Z13" i="44"/>
  <c r="M12" i="28"/>
  <c r="M12" i="29" s="1"/>
  <c r="AB13" i="44" s="1"/>
  <c r="I26" i="29"/>
  <c r="L16" i="28"/>
  <c r="P25" i="45"/>
  <c r="K16" i="31"/>
  <c r="S25" i="45" s="1"/>
  <c r="U26" i="44"/>
  <c r="V26" i="44"/>
  <c r="L21" i="24"/>
  <c r="E10" i="38"/>
  <c r="P33" i="51"/>
  <c r="E53" i="29"/>
  <c r="E53" i="31"/>
  <c r="S33" i="51" s="1"/>
  <c r="E53" i="30"/>
  <c r="R33" i="51" s="1"/>
  <c r="Z12" i="45"/>
  <c r="L18" i="28"/>
  <c r="L18" i="30" s="1"/>
  <c r="AC12" i="45" s="1"/>
  <c r="V12" i="36"/>
  <c r="F44" i="32"/>
  <c r="E8" i="53"/>
  <c r="M8" i="53"/>
  <c r="D8" i="53"/>
  <c r="M11" i="26"/>
  <c r="P41" i="35" s="1"/>
  <c r="N40" i="35"/>
  <c r="O39" i="46"/>
  <c r="M39" i="37"/>
  <c r="M17" i="23"/>
  <c r="M17" i="24" s="1"/>
  <c r="N41" i="36" s="1"/>
  <c r="N41" i="45"/>
  <c r="L41" i="36"/>
  <c r="V36" i="47"/>
  <c r="U36" i="47"/>
  <c r="R36" i="40"/>
  <c r="Q36" i="40"/>
  <c r="U38" i="45"/>
  <c r="V38" i="45"/>
  <c r="P34" i="50"/>
  <c r="F47" i="31"/>
  <c r="S34" i="50" s="1"/>
  <c r="F47" i="30"/>
  <c r="R34" i="50" s="1"/>
  <c r="F47" i="29"/>
  <c r="AG10" i="46"/>
  <c r="AF10" i="46"/>
  <c r="AG4" i="51"/>
  <c r="AF4" i="51"/>
  <c r="L33" i="22"/>
  <c r="N11" i="48"/>
  <c r="L11" i="39"/>
  <c r="N25" i="37"/>
  <c r="AB10" i="45"/>
  <c r="K18" i="32"/>
  <c r="AE11" i="45" s="1"/>
  <c r="G44" i="28"/>
  <c r="F44" i="31"/>
  <c r="H6" i="50" s="1"/>
  <c r="F44" i="29"/>
  <c r="F50" i="28"/>
  <c r="E5" i="51"/>
  <c r="J38" i="22"/>
  <c r="C9" i="40"/>
  <c r="M9" i="28"/>
  <c r="P12" i="44"/>
  <c r="G39" i="30"/>
  <c r="R7" i="49" s="1"/>
  <c r="O8" i="49"/>
  <c r="M8" i="40"/>
  <c r="I39" i="23"/>
  <c r="H39" i="25"/>
  <c r="O8" i="40" s="1"/>
  <c r="H39" i="24"/>
  <c r="I34" i="29"/>
  <c r="K28" i="24"/>
  <c r="F53" i="28"/>
  <c r="O34" i="51"/>
  <c r="M34" i="42"/>
  <c r="G53" i="23"/>
  <c r="G53" i="24" s="1"/>
  <c r="N35" i="42" s="1"/>
  <c r="Q34" i="49"/>
  <c r="G41" i="32"/>
  <c r="T35" i="49" s="1"/>
  <c r="K12" i="44"/>
  <c r="J12" i="44"/>
  <c r="H33" i="30"/>
  <c r="R8" i="48" s="1"/>
  <c r="R8" i="39"/>
  <c r="Q8" i="39"/>
  <c r="AB8" i="47"/>
  <c r="I30" i="32"/>
  <c r="AE9" i="47" s="1"/>
  <c r="Q38" i="37"/>
  <c r="R38" i="37"/>
  <c r="O21" i="51"/>
  <c r="M21" i="42"/>
  <c r="H52" i="23"/>
  <c r="J27" i="28"/>
  <c r="J27" i="30" s="1"/>
  <c r="R10" i="47" s="1"/>
  <c r="P9" i="47"/>
  <c r="G46" i="29"/>
  <c r="R27" i="35"/>
  <c r="R28" i="35" s="1"/>
  <c r="C5" i="52" s="1"/>
  <c r="Q27" i="35"/>
  <c r="Q28" i="35" s="1"/>
  <c r="M15" i="28"/>
  <c r="P12" i="45"/>
  <c r="L15" i="29"/>
  <c r="L15" i="31"/>
  <c r="S12" i="45" s="1"/>
  <c r="L15" i="30"/>
  <c r="R12" i="45" s="1"/>
  <c r="Q7" i="40"/>
  <c r="R7" i="40"/>
  <c r="R24" i="37"/>
  <c r="Q24" i="37"/>
  <c r="J30" i="28"/>
  <c r="J30" i="30" s="1"/>
  <c r="AC10" i="47" s="1"/>
  <c r="Z10" i="47"/>
  <c r="V10" i="38"/>
  <c r="R12" i="35"/>
  <c r="Q12" i="35"/>
  <c r="O7" i="50"/>
  <c r="M7" i="41"/>
  <c r="H45" i="23"/>
  <c r="G44" i="26"/>
  <c r="G7" i="41" s="1"/>
  <c r="E6" i="41"/>
  <c r="R12" i="37"/>
  <c r="Q12" i="37"/>
  <c r="AA12" i="44"/>
  <c r="L12" i="31"/>
  <c r="AD12" i="44" s="1"/>
  <c r="L12" i="29"/>
  <c r="F12" i="44"/>
  <c r="M8" i="32"/>
  <c r="I13" i="44" s="1"/>
  <c r="N13" i="47"/>
  <c r="L13" i="38"/>
  <c r="V9" i="46"/>
  <c r="U9" i="46"/>
  <c r="F52" i="30"/>
  <c r="R20" i="51" s="1"/>
  <c r="O24" i="48"/>
  <c r="M24" i="39"/>
  <c r="K34" i="23"/>
  <c r="N27" i="45"/>
  <c r="L27" i="36"/>
  <c r="W12" i="37"/>
  <c r="Z12" i="46"/>
  <c r="V12" i="37"/>
  <c r="I44" i="22"/>
  <c r="C8" i="41"/>
  <c r="F51" i="26"/>
  <c r="P6" i="42" s="1"/>
  <c r="N5" i="42"/>
  <c r="O6" i="51"/>
  <c r="M6" i="42"/>
  <c r="G51" i="23"/>
  <c r="F51" i="24"/>
  <c r="F51" i="25"/>
  <c r="O6" i="42" s="1"/>
  <c r="AA2" i="26"/>
  <c r="N3" i="53" s="1"/>
  <c r="N141" i="59" s="1"/>
  <c r="B3" i="53"/>
  <c r="H36" i="29"/>
  <c r="K14" i="32"/>
  <c r="I11" i="45" s="1"/>
  <c r="L14" i="28"/>
  <c r="K14" i="31"/>
  <c r="H11" i="45" s="1"/>
  <c r="K14" i="29"/>
  <c r="K14" i="30"/>
  <c r="G11" i="45" s="1"/>
  <c r="AG8" i="47"/>
  <c r="AF8" i="47"/>
  <c r="M20" i="22"/>
  <c r="C12" i="46"/>
  <c r="C12" i="37"/>
  <c r="O22" i="50"/>
  <c r="M22" i="41"/>
  <c r="I46" i="23"/>
  <c r="H32" i="31"/>
  <c r="H8" i="48" s="1"/>
  <c r="H8" i="39"/>
  <c r="I8" i="39"/>
  <c r="N12" i="35"/>
  <c r="M9" i="26"/>
  <c r="P13" i="35" s="1"/>
  <c r="M14" i="25"/>
  <c r="F13" i="36" s="1"/>
  <c r="L24" i="28"/>
  <c r="L24" i="30" s="1"/>
  <c r="AC12" i="46" s="1"/>
  <c r="AA11" i="46"/>
  <c r="K24" i="31"/>
  <c r="AD11" i="46" s="1"/>
  <c r="H42" i="26"/>
  <c r="Y8" i="40" s="1"/>
  <c r="W7" i="40"/>
  <c r="I51" i="22"/>
  <c r="N8" i="51"/>
  <c r="L8" i="42"/>
  <c r="H5" i="42"/>
  <c r="I5" i="42"/>
  <c r="L21" i="25"/>
  <c r="O12" i="37" s="1"/>
  <c r="C11" i="38"/>
  <c r="L26" i="22"/>
  <c r="K26" i="23"/>
  <c r="K26" i="25" s="1"/>
  <c r="F11" i="38" s="1"/>
  <c r="M16" i="23"/>
  <c r="O26" i="45"/>
  <c r="M26" i="36"/>
  <c r="L18" i="25"/>
  <c r="X12" i="36" s="1"/>
  <c r="L9" i="30"/>
  <c r="R12" i="44" s="1"/>
  <c r="I27" i="32"/>
  <c r="T9" i="47" s="1"/>
  <c r="AA6" i="26"/>
  <c r="L17" i="28"/>
  <c r="P40" i="45" s="1"/>
  <c r="L23" i="23"/>
  <c r="L23" i="25" s="1"/>
  <c r="O40" i="37" s="1"/>
  <c r="M17" i="26"/>
  <c r="P41" i="36" s="1"/>
  <c r="L11" i="30"/>
  <c r="R40" i="44" s="1"/>
  <c r="J29" i="26"/>
  <c r="P38" i="38" s="1"/>
  <c r="L17" i="26"/>
  <c r="P40" i="36" s="1"/>
  <c r="J29" i="28"/>
  <c r="L11" i="29"/>
  <c r="Q40" i="44" s="1"/>
  <c r="K17" i="31"/>
  <c r="S39" i="45" s="1"/>
  <c r="I29" i="32"/>
  <c r="T37" i="47" s="1"/>
  <c r="J29" i="24"/>
  <c r="K23" i="25"/>
  <c r="O39" i="37" s="1"/>
  <c r="J41" i="22"/>
  <c r="K23" i="24"/>
  <c r="I29" i="30"/>
  <c r="R37" i="47" s="1"/>
  <c r="H53" i="22"/>
  <c r="K17" i="32"/>
  <c r="T39" i="45" s="1"/>
  <c r="L11" i="32"/>
  <c r="T40" i="44" s="1"/>
  <c r="K23" i="28"/>
  <c r="K23" i="31" s="1"/>
  <c r="S39" i="46" s="1"/>
  <c r="J23" i="31"/>
  <c r="S38" i="46" s="1"/>
  <c r="J23" i="29"/>
  <c r="Q38" i="46" s="1"/>
  <c r="J23" i="30"/>
  <c r="R38" i="46" s="1"/>
  <c r="AA5" i="26"/>
  <c r="N6" i="53" s="1"/>
  <c r="N144" i="59" s="1"/>
  <c r="L29" i="22"/>
  <c r="K29" i="23"/>
  <c r="K29" i="25" s="1"/>
  <c r="O39" i="38" s="1"/>
  <c r="I47" i="22"/>
  <c r="I29" i="29"/>
  <c r="Q37" i="47" s="1"/>
  <c r="K35" i="22"/>
  <c r="I41" i="26"/>
  <c r="P37" i="40" s="1"/>
  <c r="M23" i="22"/>
  <c r="K17" i="30"/>
  <c r="R39" i="45" s="1"/>
  <c r="L11" i="31"/>
  <c r="I29" i="31"/>
  <c r="S37" i="47" s="1"/>
  <c r="U8" i="48" l="1"/>
  <c r="I9" i="51"/>
  <c r="I9" i="49"/>
  <c r="I9" i="50"/>
  <c r="I9" i="48"/>
  <c r="I9" i="47"/>
  <c r="J8" i="47"/>
  <c r="K8" i="47"/>
  <c r="J8" i="48"/>
  <c r="K8" i="48"/>
  <c r="J11" i="45"/>
  <c r="K11" i="45"/>
  <c r="J8" i="50"/>
  <c r="K8" i="50"/>
  <c r="K8" i="49"/>
  <c r="J8" i="49"/>
  <c r="J10" i="46"/>
  <c r="K10" i="46"/>
  <c r="J8" i="51"/>
  <c r="K8" i="51"/>
  <c r="K14" i="43"/>
  <c r="B3" i="34" s="1"/>
  <c r="B133" i="59" s="1"/>
  <c r="V34" i="50"/>
  <c r="U21" i="50"/>
  <c r="B8" i="52"/>
  <c r="AA7" i="41"/>
  <c r="B117" i="59"/>
  <c r="G53" i="26"/>
  <c r="P35" i="42" s="1"/>
  <c r="L22" i="26"/>
  <c r="P26" i="37" s="1"/>
  <c r="R26" i="37" s="1"/>
  <c r="I40" i="32"/>
  <c r="T23" i="49" s="1"/>
  <c r="Q39" i="37"/>
  <c r="AF7" i="49"/>
  <c r="F51" i="31"/>
  <c r="S6" i="51" s="1"/>
  <c r="F51" i="29"/>
  <c r="N37" i="39"/>
  <c r="J13" i="43"/>
  <c r="J14" i="43" s="1"/>
  <c r="K34" i="26"/>
  <c r="P25" i="39" s="1"/>
  <c r="Q25" i="39" s="1"/>
  <c r="I38" i="26"/>
  <c r="G9" i="40" s="1"/>
  <c r="H9" i="40" s="1"/>
  <c r="L20" i="25"/>
  <c r="F12" i="37" s="1"/>
  <c r="AA12" i="37"/>
  <c r="G47" i="29"/>
  <c r="Q35" i="50" s="1"/>
  <c r="H38" i="29"/>
  <c r="R7" i="41"/>
  <c r="U27" i="43"/>
  <c r="U28" i="43" s="1"/>
  <c r="M17" i="25"/>
  <c r="O41" i="36" s="1"/>
  <c r="Z13" i="35"/>
  <c r="Z14" i="35" s="1"/>
  <c r="K28" i="29"/>
  <c r="I40" i="30"/>
  <c r="R23" i="49" s="1"/>
  <c r="L18" i="31"/>
  <c r="AD12" i="45" s="1"/>
  <c r="H42" i="32"/>
  <c r="AE8" i="49" s="1"/>
  <c r="AG8" i="49" s="1"/>
  <c r="I40" i="31"/>
  <c r="S23" i="49" s="1"/>
  <c r="K28" i="31"/>
  <c r="S25" i="47" s="1"/>
  <c r="U7" i="49"/>
  <c r="M24" i="26"/>
  <c r="Y13" i="37" s="1"/>
  <c r="AA13" i="37" s="1"/>
  <c r="AA10" i="38"/>
  <c r="J35" i="24"/>
  <c r="N38" i="39" s="1"/>
  <c r="H48" i="26"/>
  <c r="Y8" i="41" s="1"/>
  <c r="Z8" i="41" s="1"/>
  <c r="H44" i="24"/>
  <c r="E8" i="41" s="1"/>
  <c r="H48" i="25"/>
  <c r="X8" i="41" s="1"/>
  <c r="I8" i="40"/>
  <c r="F50" i="32"/>
  <c r="I38" i="25"/>
  <c r="F9" i="40" s="1"/>
  <c r="K30" i="26"/>
  <c r="Y11" i="38" s="1"/>
  <c r="Z11" i="38" s="1"/>
  <c r="H39" i="29"/>
  <c r="Q8" i="49" s="1"/>
  <c r="J26" i="29"/>
  <c r="K22" i="32"/>
  <c r="T25" i="46" s="1"/>
  <c r="V25" i="46" s="1"/>
  <c r="M24" i="25"/>
  <c r="X13" i="37" s="1"/>
  <c r="V28" i="44"/>
  <c r="C5" i="34" s="1"/>
  <c r="C135" i="59" s="1"/>
  <c r="I41" i="25"/>
  <c r="O37" i="40" s="1"/>
  <c r="G45" i="31"/>
  <c r="S7" i="50" s="1"/>
  <c r="H39" i="30"/>
  <c r="R8" i="49" s="1"/>
  <c r="K26" i="26"/>
  <c r="G11" i="38" s="1"/>
  <c r="I11" i="38" s="1"/>
  <c r="U41" i="43"/>
  <c r="U42" i="43" s="1"/>
  <c r="L22" i="24"/>
  <c r="N26" i="37" s="1"/>
  <c r="H47" i="26"/>
  <c r="P36" i="41" s="1"/>
  <c r="Q36" i="41" s="1"/>
  <c r="G53" i="25"/>
  <c r="O35" i="42" s="1"/>
  <c r="F54" i="31"/>
  <c r="AD6" i="51" s="1"/>
  <c r="K20" i="30"/>
  <c r="G11" i="46" s="1"/>
  <c r="H46" i="31"/>
  <c r="S22" i="50" s="1"/>
  <c r="H47" i="24"/>
  <c r="I47" i="26" s="1"/>
  <c r="P37" i="41" s="1"/>
  <c r="K20" i="31"/>
  <c r="H11" i="46" s="1"/>
  <c r="H46" i="30"/>
  <c r="R22" i="50" s="1"/>
  <c r="U13" i="43"/>
  <c r="U14" i="43" s="1"/>
  <c r="I36" i="29"/>
  <c r="L23" i="24"/>
  <c r="N40" i="37" s="1"/>
  <c r="I36" i="30"/>
  <c r="AC9" i="48" s="1"/>
  <c r="F8" i="53"/>
  <c r="C119" i="59"/>
  <c r="H42" i="29"/>
  <c r="AB8" i="49" s="1"/>
  <c r="L17" i="31"/>
  <c r="S40" i="45" s="1"/>
  <c r="H42" i="30"/>
  <c r="AC8" i="49" s="1"/>
  <c r="D118" i="59"/>
  <c r="M17" i="28"/>
  <c r="M17" i="31" s="1"/>
  <c r="S41" i="45" s="1"/>
  <c r="M18" i="24"/>
  <c r="W13" i="36" s="1"/>
  <c r="C121" i="59"/>
  <c r="B8" i="53"/>
  <c r="C3" i="56" s="1"/>
  <c r="B141" i="59"/>
  <c r="B146" i="59" s="1"/>
  <c r="H42" i="31"/>
  <c r="AD8" i="49" s="1"/>
  <c r="I36" i="31"/>
  <c r="AD9" i="48" s="1"/>
  <c r="M105" i="59"/>
  <c r="C117" i="59"/>
  <c r="Q21" i="51"/>
  <c r="M11" i="32"/>
  <c r="T41" i="44" s="1"/>
  <c r="S40" i="44"/>
  <c r="Q37" i="40"/>
  <c r="R37" i="40"/>
  <c r="N37" i="50"/>
  <c r="L37" i="41"/>
  <c r="N40" i="47"/>
  <c r="L40" i="38"/>
  <c r="K29" i="26"/>
  <c r="P39" i="38" s="1"/>
  <c r="N38" i="38"/>
  <c r="J29" i="31"/>
  <c r="S38" i="47" s="1"/>
  <c r="P38" i="47"/>
  <c r="Q41" i="36"/>
  <c r="R41" i="36"/>
  <c r="K26" i="24"/>
  <c r="Q13" i="35"/>
  <c r="Q14" i="35" s="1"/>
  <c r="R13" i="35"/>
  <c r="R14" i="35" s="1"/>
  <c r="C4" i="52" s="1"/>
  <c r="C13" i="46"/>
  <c r="C13" i="37"/>
  <c r="I36" i="32"/>
  <c r="AE9" i="48" s="1"/>
  <c r="AB8" i="48"/>
  <c r="J44" i="22"/>
  <c r="C9" i="41"/>
  <c r="M16" i="25"/>
  <c r="O27" i="36" s="1"/>
  <c r="O25" i="48"/>
  <c r="M25" i="39"/>
  <c r="L34" i="23"/>
  <c r="L34" i="25" s="1"/>
  <c r="O26" i="39" s="1"/>
  <c r="I7" i="41"/>
  <c r="H7" i="41"/>
  <c r="AG9" i="47"/>
  <c r="AF9" i="47"/>
  <c r="O9" i="49"/>
  <c r="M9" i="40"/>
  <c r="J39" i="23"/>
  <c r="I39" i="25"/>
  <c r="O9" i="40" s="1"/>
  <c r="I39" i="24"/>
  <c r="G50" i="28"/>
  <c r="G50" i="31" s="1"/>
  <c r="H7" i="51" s="1"/>
  <c r="G44" i="32"/>
  <c r="M33" i="22"/>
  <c r="N12" i="48"/>
  <c r="L12" i="39"/>
  <c r="Q34" i="50"/>
  <c r="G47" i="32"/>
  <c r="T35" i="50" s="1"/>
  <c r="N12" i="37"/>
  <c r="M21" i="26"/>
  <c r="P13" i="37" s="1"/>
  <c r="J26" i="32"/>
  <c r="D8" i="41"/>
  <c r="I44" i="23"/>
  <c r="I32" i="32"/>
  <c r="Q5" i="51"/>
  <c r="F51" i="32"/>
  <c r="T6" i="51" s="1"/>
  <c r="Z13" i="46"/>
  <c r="V13" i="37"/>
  <c r="M24" i="28"/>
  <c r="M24" i="30" s="1"/>
  <c r="AC13" i="46" s="1"/>
  <c r="U23" i="48"/>
  <c r="V23" i="48"/>
  <c r="Z11" i="47"/>
  <c r="V11" i="38"/>
  <c r="K30" i="28"/>
  <c r="J30" i="29"/>
  <c r="N23" i="40"/>
  <c r="J40" i="26"/>
  <c r="P24" i="40" s="1"/>
  <c r="Q22" i="50"/>
  <c r="U10" i="46"/>
  <c r="V10" i="46"/>
  <c r="AA8" i="41"/>
  <c r="H13" i="36"/>
  <c r="H14" i="36" s="1"/>
  <c r="I13" i="36"/>
  <c r="I14" i="36" s="1"/>
  <c r="D3" i="52" s="1"/>
  <c r="Q8" i="40"/>
  <c r="R8" i="40"/>
  <c r="F50" i="31"/>
  <c r="H6" i="51" s="1"/>
  <c r="F50" i="29"/>
  <c r="L39" i="22"/>
  <c r="N11" i="49"/>
  <c r="L11" i="40"/>
  <c r="J33" i="28"/>
  <c r="J33" i="29" s="1"/>
  <c r="P9" i="48"/>
  <c r="O13" i="46"/>
  <c r="M13" i="37"/>
  <c r="Z7" i="51"/>
  <c r="V7" i="42"/>
  <c r="G54" i="28"/>
  <c r="AA7" i="51" s="1"/>
  <c r="H54" i="23"/>
  <c r="H54" i="24" s="1"/>
  <c r="U12" i="44"/>
  <c r="V12" i="44"/>
  <c r="M21" i="25"/>
  <c r="O13" i="37" s="1"/>
  <c r="I42" i="26"/>
  <c r="Y9" i="40" s="1"/>
  <c r="W8" i="40"/>
  <c r="AA9" i="39"/>
  <c r="Z9" i="39"/>
  <c r="AB6" i="50"/>
  <c r="G48" i="32"/>
  <c r="AE7" i="50" s="1"/>
  <c r="J48" i="22"/>
  <c r="Y9" i="50"/>
  <c r="U9" i="41"/>
  <c r="V36" i="48"/>
  <c r="U36" i="48"/>
  <c r="W12" i="36"/>
  <c r="M18" i="26"/>
  <c r="Y13" i="36" s="1"/>
  <c r="H48" i="28"/>
  <c r="AA7" i="50"/>
  <c r="G48" i="29"/>
  <c r="G48" i="30"/>
  <c r="AC7" i="50" s="1"/>
  <c r="G48" i="31"/>
  <c r="AD7" i="50" s="1"/>
  <c r="I32" i="31"/>
  <c r="H9" i="48" s="1"/>
  <c r="AF12" i="44"/>
  <c r="AG12" i="44"/>
  <c r="J27" i="29"/>
  <c r="R27" i="36"/>
  <c r="Q27" i="36"/>
  <c r="G52" i="31"/>
  <c r="S21" i="51" s="1"/>
  <c r="I52" i="22"/>
  <c r="N22" i="51"/>
  <c r="L22" i="42"/>
  <c r="H52" i="24"/>
  <c r="H52" i="25"/>
  <c r="O22" i="42" s="1"/>
  <c r="L16" i="32"/>
  <c r="T26" i="45" s="1"/>
  <c r="H45" i="24"/>
  <c r="M34" i="22"/>
  <c r="N26" i="48"/>
  <c r="L26" i="39"/>
  <c r="R23" i="40"/>
  <c r="Q23" i="40"/>
  <c r="AG8" i="48"/>
  <c r="AF8" i="48"/>
  <c r="R22" i="41"/>
  <c r="Q22" i="41"/>
  <c r="I33" i="31"/>
  <c r="S9" i="48" s="1"/>
  <c r="O10" i="48"/>
  <c r="M10" i="39"/>
  <c r="K33" i="23"/>
  <c r="J33" i="24"/>
  <c r="J33" i="25"/>
  <c r="O10" i="39" s="1"/>
  <c r="V5" i="51"/>
  <c r="U5" i="51"/>
  <c r="Y11" i="49"/>
  <c r="U11" i="40"/>
  <c r="L42" i="22"/>
  <c r="P35" i="50"/>
  <c r="G47" i="30"/>
  <c r="N36" i="51"/>
  <c r="L36" i="42"/>
  <c r="N38" i="49"/>
  <c r="L38" i="40"/>
  <c r="U37" i="47"/>
  <c r="V37" i="47"/>
  <c r="R40" i="36"/>
  <c r="Q40" i="36"/>
  <c r="AA7" i="26"/>
  <c r="N7" i="53"/>
  <c r="N145" i="59" s="1"/>
  <c r="N146" i="59" s="1"/>
  <c r="V9" i="47"/>
  <c r="U9" i="47"/>
  <c r="D11" i="38"/>
  <c r="B8" i="34"/>
  <c r="J51" i="22"/>
  <c r="N9" i="51"/>
  <c r="L9" i="42"/>
  <c r="O23" i="50"/>
  <c r="M23" i="41"/>
  <c r="J46" i="23"/>
  <c r="N6" i="42"/>
  <c r="G51" i="26"/>
  <c r="P7" i="42" s="1"/>
  <c r="M16" i="24"/>
  <c r="N27" i="36" s="1"/>
  <c r="P13" i="45"/>
  <c r="M15" i="30"/>
  <c r="R13" i="45" s="1"/>
  <c r="M15" i="29"/>
  <c r="Q13" i="45" s="1"/>
  <c r="M15" i="31"/>
  <c r="S13" i="45" s="1"/>
  <c r="O22" i="51"/>
  <c r="M22" i="42"/>
  <c r="I52" i="23"/>
  <c r="V35" i="49"/>
  <c r="U35" i="49"/>
  <c r="P13" i="44"/>
  <c r="M9" i="29"/>
  <c r="Q13" i="44" s="1"/>
  <c r="M9" i="31"/>
  <c r="S13" i="44" s="1"/>
  <c r="M9" i="30"/>
  <c r="R13" i="44" s="1"/>
  <c r="K38" i="22"/>
  <c r="C10" i="40"/>
  <c r="R38" i="39"/>
  <c r="Q38" i="39"/>
  <c r="M16" i="28"/>
  <c r="P27" i="45" s="1"/>
  <c r="P26" i="45"/>
  <c r="L16" i="29"/>
  <c r="L16" i="31"/>
  <c r="S26" i="45" s="1"/>
  <c r="L16" i="30"/>
  <c r="R26" i="45" s="1"/>
  <c r="M12" i="30"/>
  <c r="AC13" i="44" s="1"/>
  <c r="AA13" i="44"/>
  <c r="H11" i="37"/>
  <c r="I11" i="37"/>
  <c r="N22" i="41"/>
  <c r="I46" i="26"/>
  <c r="P23" i="41" s="1"/>
  <c r="R9" i="39"/>
  <c r="Q9" i="39"/>
  <c r="L28" i="24"/>
  <c r="N27" i="47"/>
  <c r="L27" i="38"/>
  <c r="M28" i="23"/>
  <c r="E6" i="42"/>
  <c r="G50" i="26"/>
  <c r="G7" i="42" s="1"/>
  <c r="D7" i="42"/>
  <c r="H50" i="23"/>
  <c r="G50" i="24"/>
  <c r="G50" i="25"/>
  <c r="F7" i="42" s="1"/>
  <c r="U24" i="47"/>
  <c r="V24" i="47"/>
  <c r="Z9" i="49"/>
  <c r="V9" i="40"/>
  <c r="I42" i="28"/>
  <c r="I42" i="29" s="1"/>
  <c r="J42" i="23"/>
  <c r="I42" i="25"/>
  <c r="X9" i="40" s="1"/>
  <c r="I42" i="24"/>
  <c r="J40" i="28"/>
  <c r="J40" i="29" s="1"/>
  <c r="P23" i="49"/>
  <c r="Q24" i="47"/>
  <c r="K28" i="32"/>
  <c r="T25" i="47" s="1"/>
  <c r="Q36" i="48"/>
  <c r="I35" i="32"/>
  <c r="T37" i="48" s="1"/>
  <c r="O24" i="49"/>
  <c r="M24" i="40"/>
  <c r="K40" i="23"/>
  <c r="AG11" i="46"/>
  <c r="AF11" i="46"/>
  <c r="AB9" i="47"/>
  <c r="J30" i="32"/>
  <c r="AE10" i="47" s="1"/>
  <c r="I46" i="28"/>
  <c r="I46" i="29" s="1"/>
  <c r="P22" i="50"/>
  <c r="N27" i="46"/>
  <c r="L27" i="37"/>
  <c r="M11" i="30"/>
  <c r="R41" i="44" s="1"/>
  <c r="P41" i="44"/>
  <c r="M11" i="31"/>
  <c r="S41" i="44" s="1"/>
  <c r="H45" i="28"/>
  <c r="H45" i="29" s="1"/>
  <c r="P7" i="50"/>
  <c r="G45" i="30"/>
  <c r="R7" i="50" s="1"/>
  <c r="V24" i="46"/>
  <c r="U24" i="46"/>
  <c r="J32" i="26"/>
  <c r="G10" i="39" s="1"/>
  <c r="E9" i="39"/>
  <c r="I9" i="39"/>
  <c r="H9" i="39"/>
  <c r="E11" i="37"/>
  <c r="L20" i="26"/>
  <c r="G12" i="37" s="1"/>
  <c r="J36" i="28"/>
  <c r="AA10" i="48" s="1"/>
  <c r="Z10" i="48"/>
  <c r="V10" i="39"/>
  <c r="K36" i="23"/>
  <c r="J36" i="25"/>
  <c r="X10" i="39" s="1"/>
  <c r="J36" i="24"/>
  <c r="Q9" i="47"/>
  <c r="J27" i="32"/>
  <c r="T10" i="47" s="1"/>
  <c r="K34" i="24"/>
  <c r="U28" i="44"/>
  <c r="G51" i="28"/>
  <c r="G51" i="31" s="1"/>
  <c r="S7" i="51" s="1"/>
  <c r="P6" i="51"/>
  <c r="I33" i="30"/>
  <c r="R9" i="48" s="1"/>
  <c r="G54" i="24"/>
  <c r="I54" i="22"/>
  <c r="Y8" i="51"/>
  <c r="U8" i="42"/>
  <c r="F54" i="29"/>
  <c r="K29" i="24"/>
  <c r="N39" i="38" s="1"/>
  <c r="L23" i="28"/>
  <c r="P39" i="46"/>
  <c r="M23" i="23"/>
  <c r="M23" i="24" s="1"/>
  <c r="N41" i="37" s="1"/>
  <c r="N41" i="46"/>
  <c r="L41" i="37"/>
  <c r="N39" i="48"/>
  <c r="L39" i="39"/>
  <c r="V40" i="44"/>
  <c r="U40" i="44"/>
  <c r="R38" i="38"/>
  <c r="Q38" i="38"/>
  <c r="O40" i="46"/>
  <c r="M40" i="37"/>
  <c r="C12" i="47"/>
  <c r="C12" i="38"/>
  <c r="L26" i="23"/>
  <c r="M26" i="22"/>
  <c r="E12" i="37"/>
  <c r="M20" i="26"/>
  <c r="G13" i="37" s="1"/>
  <c r="M14" i="28"/>
  <c r="E12" i="45"/>
  <c r="L14" i="31"/>
  <c r="H12" i="45" s="1"/>
  <c r="L14" i="29"/>
  <c r="L14" i="30"/>
  <c r="G12" i="45" s="1"/>
  <c r="O7" i="51"/>
  <c r="M7" i="42"/>
  <c r="H51" i="23"/>
  <c r="G51" i="24"/>
  <c r="G51" i="25"/>
  <c r="O7" i="42" s="1"/>
  <c r="R6" i="42"/>
  <c r="Q6" i="42"/>
  <c r="AB12" i="44"/>
  <c r="M12" i="32"/>
  <c r="AE13" i="44" s="1"/>
  <c r="O8" i="50"/>
  <c r="M8" i="41"/>
  <c r="I45" i="23"/>
  <c r="I45" i="24" s="1"/>
  <c r="Q21" i="50"/>
  <c r="H46" i="32"/>
  <c r="T22" i="50" s="1"/>
  <c r="K27" i="28"/>
  <c r="K27" i="29" s="1"/>
  <c r="P10" i="47"/>
  <c r="P34" i="51"/>
  <c r="F53" i="31"/>
  <c r="S34" i="51" s="1"/>
  <c r="F53" i="29"/>
  <c r="F53" i="30"/>
  <c r="R34" i="51" s="1"/>
  <c r="N25" i="38"/>
  <c r="L28" i="26"/>
  <c r="P26" i="38" s="1"/>
  <c r="AG11" i="45"/>
  <c r="AF11" i="45"/>
  <c r="O41" i="45"/>
  <c r="M41" i="36"/>
  <c r="Q41" i="35"/>
  <c r="Q42" i="35" s="1"/>
  <c r="R41" i="35"/>
  <c r="R42" i="35" s="1"/>
  <c r="C6" i="52" s="1"/>
  <c r="AA12" i="45"/>
  <c r="L18" i="29"/>
  <c r="P37" i="48"/>
  <c r="I35" i="30"/>
  <c r="R37" i="48" s="1"/>
  <c r="I35" i="29"/>
  <c r="I35" i="31"/>
  <c r="S37" i="48" s="1"/>
  <c r="AG6" i="50"/>
  <c r="AF6" i="50"/>
  <c r="Q21" i="42"/>
  <c r="R21" i="42"/>
  <c r="P36" i="49"/>
  <c r="H41" i="30"/>
  <c r="R36" i="49" s="1"/>
  <c r="H41" i="29"/>
  <c r="H41" i="31"/>
  <c r="S36" i="49" s="1"/>
  <c r="K30" i="24"/>
  <c r="K40" i="22"/>
  <c r="N24" i="49"/>
  <c r="L24" i="40"/>
  <c r="J40" i="24"/>
  <c r="J40" i="25"/>
  <c r="O24" i="40" s="1"/>
  <c r="AB5" i="51"/>
  <c r="F54" i="32"/>
  <c r="AE6" i="51" s="1"/>
  <c r="M32" i="22"/>
  <c r="C12" i="48"/>
  <c r="C12" i="39"/>
  <c r="W6" i="42"/>
  <c r="G54" i="26"/>
  <c r="Y7" i="42" s="1"/>
  <c r="L28" i="25"/>
  <c r="O26" i="38" s="1"/>
  <c r="F50" i="30"/>
  <c r="G6" i="51" s="1"/>
  <c r="V22" i="49"/>
  <c r="U22" i="49"/>
  <c r="V13" i="36"/>
  <c r="Z13" i="45"/>
  <c r="M18" i="28"/>
  <c r="R10" i="38"/>
  <c r="Q10" i="38"/>
  <c r="R26" i="36"/>
  <c r="Q26" i="36"/>
  <c r="Q7" i="50"/>
  <c r="Q35" i="49"/>
  <c r="H41" i="32"/>
  <c r="T36" i="49" s="1"/>
  <c r="V6" i="50"/>
  <c r="U6" i="50"/>
  <c r="U33" i="51"/>
  <c r="V33" i="51"/>
  <c r="M12" i="31"/>
  <c r="AD13" i="44" s="1"/>
  <c r="D10" i="39"/>
  <c r="K32" i="23"/>
  <c r="J32" i="25"/>
  <c r="F10" i="39" s="1"/>
  <c r="J32" i="24"/>
  <c r="M22" i="23"/>
  <c r="O26" i="46"/>
  <c r="M26" i="37"/>
  <c r="O11" i="47"/>
  <c r="M11" i="38"/>
  <c r="K27" i="25"/>
  <c r="O11" i="38" s="1"/>
  <c r="K27" i="24"/>
  <c r="L27" i="23"/>
  <c r="K27" i="26"/>
  <c r="P11" i="38" s="1"/>
  <c r="N10" i="38"/>
  <c r="N21" i="42"/>
  <c r="H52" i="26"/>
  <c r="P22" i="42" s="1"/>
  <c r="J45" i="22"/>
  <c r="N9" i="50"/>
  <c r="L9" i="41"/>
  <c r="K34" i="25"/>
  <c r="O25" i="39" s="1"/>
  <c r="L24" i="32"/>
  <c r="AE12" i="46" s="1"/>
  <c r="Q24" i="39"/>
  <c r="R24" i="39"/>
  <c r="Q10" i="46"/>
  <c r="K21" i="32"/>
  <c r="T11" i="46" s="1"/>
  <c r="L21" i="28"/>
  <c r="P11" i="46"/>
  <c r="K21" i="30"/>
  <c r="R11" i="46" s="1"/>
  <c r="K21" i="29"/>
  <c r="K21" i="31"/>
  <c r="S11" i="46" s="1"/>
  <c r="M36" i="22"/>
  <c r="Y12" i="48"/>
  <c r="U12" i="39"/>
  <c r="G54" i="25"/>
  <c r="X7" i="42" s="1"/>
  <c r="G54" i="31"/>
  <c r="AD7" i="51" s="1"/>
  <c r="F54" i="30"/>
  <c r="AC6" i="51" s="1"/>
  <c r="AF5" i="51"/>
  <c r="AG5" i="51"/>
  <c r="K20" i="32"/>
  <c r="I11" i="46" s="1"/>
  <c r="O39" i="47"/>
  <c r="M39" i="38"/>
  <c r="V39" i="45"/>
  <c r="U39" i="45"/>
  <c r="L23" i="26"/>
  <c r="P40" i="37" s="1"/>
  <c r="N39" i="37"/>
  <c r="O27" i="45"/>
  <c r="M27" i="36"/>
  <c r="AA8" i="40"/>
  <c r="Z8" i="40"/>
  <c r="AA12" i="46"/>
  <c r="L24" i="31"/>
  <c r="AD12" i="46" s="1"/>
  <c r="L24" i="29"/>
  <c r="L14" i="32"/>
  <c r="I12" i="45" s="1"/>
  <c r="Q6" i="51"/>
  <c r="K13" i="44"/>
  <c r="J13" i="44"/>
  <c r="J14" i="44" s="1"/>
  <c r="AA10" i="47"/>
  <c r="J30" i="31"/>
  <c r="AD10" i="47" s="1"/>
  <c r="Q12" i="45"/>
  <c r="M15" i="32"/>
  <c r="T13" i="45" s="1"/>
  <c r="G53" i="28"/>
  <c r="O35" i="51"/>
  <c r="M35" i="42"/>
  <c r="H53" i="23"/>
  <c r="H53" i="25" s="1"/>
  <c r="O36" i="42" s="1"/>
  <c r="Q23" i="48"/>
  <c r="J34" i="32"/>
  <c r="T24" i="48" s="1"/>
  <c r="I39" i="26"/>
  <c r="P9" i="40" s="1"/>
  <c r="N8" i="40"/>
  <c r="E9" i="40"/>
  <c r="H44" i="28"/>
  <c r="G44" i="31"/>
  <c r="H7" i="50" s="1"/>
  <c r="G44" i="30"/>
  <c r="G7" i="50" s="1"/>
  <c r="G44" i="29"/>
  <c r="Q26" i="37"/>
  <c r="Q33" i="51"/>
  <c r="F53" i="32"/>
  <c r="T34" i="51" s="1"/>
  <c r="L22" i="28"/>
  <c r="P25" i="46"/>
  <c r="K22" i="29"/>
  <c r="K22" i="31"/>
  <c r="S25" i="46" s="1"/>
  <c r="K22" i="30"/>
  <c r="R25" i="46" s="1"/>
  <c r="J35" i="28"/>
  <c r="O38" i="48"/>
  <c r="M38" i="39"/>
  <c r="K35" i="23"/>
  <c r="K35" i="25" s="1"/>
  <c r="O39" i="39" s="1"/>
  <c r="J32" i="28"/>
  <c r="J32" i="30" s="1"/>
  <c r="G10" i="48" s="1"/>
  <c r="I41" i="28"/>
  <c r="O37" i="49"/>
  <c r="M37" i="40"/>
  <c r="J41" i="23"/>
  <c r="J41" i="24" s="1"/>
  <c r="N38" i="40" s="1"/>
  <c r="I10" i="38"/>
  <c r="H10" i="38"/>
  <c r="M30" i="22"/>
  <c r="Y12" i="47"/>
  <c r="U12" i="38"/>
  <c r="L30" i="23"/>
  <c r="L20" i="28"/>
  <c r="Q23" i="49"/>
  <c r="V23" i="49"/>
  <c r="U23" i="49"/>
  <c r="J46" i="22"/>
  <c r="N23" i="50"/>
  <c r="L23" i="41"/>
  <c r="I46" i="24"/>
  <c r="I46" i="25"/>
  <c r="O23" i="41" s="1"/>
  <c r="O26" i="47"/>
  <c r="M26" i="38"/>
  <c r="M9" i="32"/>
  <c r="T13" i="44" s="1"/>
  <c r="D9" i="40"/>
  <c r="J38" i="23"/>
  <c r="H52" i="28"/>
  <c r="H52" i="29" s="1"/>
  <c r="P21" i="51"/>
  <c r="V38" i="46"/>
  <c r="U38" i="46"/>
  <c r="Q35" i="42"/>
  <c r="R35" i="42"/>
  <c r="K50" i="22"/>
  <c r="C10" i="42"/>
  <c r="L28" i="28"/>
  <c r="L28" i="30" s="1"/>
  <c r="R26" i="47" s="1"/>
  <c r="P25" i="47"/>
  <c r="H8" i="41"/>
  <c r="I8" i="41"/>
  <c r="U12" i="45"/>
  <c r="V12" i="45"/>
  <c r="M20" i="23"/>
  <c r="D12" i="46"/>
  <c r="D12" i="37"/>
  <c r="AA12" i="36"/>
  <c r="Z12" i="36"/>
  <c r="W8" i="41"/>
  <c r="Q7" i="49"/>
  <c r="H39" i="32"/>
  <c r="T8" i="49" s="1"/>
  <c r="H6" i="42"/>
  <c r="I6" i="42"/>
  <c r="K26" i="28"/>
  <c r="K26" i="29" s="1"/>
  <c r="J26" i="30"/>
  <c r="G10" i="47" s="1"/>
  <c r="K34" i="28"/>
  <c r="K34" i="29" s="1"/>
  <c r="P24" i="48"/>
  <c r="J34" i="31"/>
  <c r="S24" i="48" s="1"/>
  <c r="J34" i="29"/>
  <c r="J34" i="30"/>
  <c r="R24" i="48" s="1"/>
  <c r="I39" i="28"/>
  <c r="I39" i="29" s="1"/>
  <c r="P8" i="49"/>
  <c r="R25" i="37"/>
  <c r="Q25" i="37"/>
  <c r="Q6" i="50"/>
  <c r="G45" i="32"/>
  <c r="T7" i="50" s="1"/>
  <c r="V25" i="45"/>
  <c r="U25" i="45"/>
  <c r="Z8" i="50"/>
  <c r="V8" i="41"/>
  <c r="I48" i="23"/>
  <c r="I48" i="24" s="1"/>
  <c r="I32" i="29"/>
  <c r="J36" i="26"/>
  <c r="Y10" i="39" s="1"/>
  <c r="W9" i="39"/>
  <c r="J27" i="31"/>
  <c r="S10" i="47" s="1"/>
  <c r="G52" i="30"/>
  <c r="R21" i="51" s="1"/>
  <c r="H45" i="25"/>
  <c r="O8" i="41" s="1"/>
  <c r="N9" i="39"/>
  <c r="J33" i="26"/>
  <c r="P10" i="39" s="1"/>
  <c r="I33" i="29"/>
  <c r="Q8" i="48"/>
  <c r="I33" i="32"/>
  <c r="T9" i="48" s="1"/>
  <c r="G54" i="30"/>
  <c r="AC7" i="51" s="1"/>
  <c r="R25" i="38"/>
  <c r="Q25" i="38"/>
  <c r="H38" i="32"/>
  <c r="I38" i="28"/>
  <c r="H38" i="30"/>
  <c r="G8" i="49" s="1"/>
  <c r="H47" i="28"/>
  <c r="O36" i="50"/>
  <c r="M36" i="41"/>
  <c r="I47" i="23"/>
  <c r="I47" i="24" s="1"/>
  <c r="L18" i="32"/>
  <c r="AE12" i="45" s="1"/>
  <c r="G52" i="32"/>
  <c r="T21" i="51" s="1"/>
  <c r="H45" i="26"/>
  <c r="P8" i="41" s="1"/>
  <c r="L17" i="30"/>
  <c r="R40" i="45" s="1"/>
  <c r="L17" i="29"/>
  <c r="J29" i="30"/>
  <c r="R38" i="47" s="1"/>
  <c r="K23" i="29"/>
  <c r="Q39" i="46" s="1"/>
  <c r="L17" i="32"/>
  <c r="T40" i="45" s="1"/>
  <c r="J29" i="32"/>
  <c r="T38" i="47" s="1"/>
  <c r="K29" i="28"/>
  <c r="K23" i="30"/>
  <c r="J29" i="29"/>
  <c r="Q38" i="47" s="1"/>
  <c r="J47" i="22"/>
  <c r="M29" i="22"/>
  <c r="L29" i="23"/>
  <c r="I53" i="22"/>
  <c r="K41" i="22"/>
  <c r="M17" i="30"/>
  <c r="R41" i="45" s="1"/>
  <c r="K23" i="32"/>
  <c r="T39" i="46" s="1"/>
  <c r="L35" i="22"/>
  <c r="I10" i="51" l="1"/>
  <c r="I10" i="49"/>
  <c r="I10" i="50"/>
  <c r="I10" i="48"/>
  <c r="I10" i="47"/>
  <c r="J11" i="46"/>
  <c r="K11" i="46"/>
  <c r="J9" i="47"/>
  <c r="K9" i="47"/>
  <c r="J9" i="48"/>
  <c r="K9" i="48"/>
  <c r="K9" i="50"/>
  <c r="J9" i="50"/>
  <c r="J9" i="49"/>
  <c r="K9" i="49"/>
  <c r="J9" i="51"/>
  <c r="K9" i="51"/>
  <c r="K14" i="44"/>
  <c r="C3" i="34" s="1"/>
  <c r="C133" i="59" s="1"/>
  <c r="G51" i="32"/>
  <c r="T7" i="51" s="1"/>
  <c r="M17" i="29"/>
  <c r="Q41" i="45" s="1"/>
  <c r="C8" i="52"/>
  <c r="I9" i="40"/>
  <c r="L28" i="32"/>
  <c r="T26" i="47" s="1"/>
  <c r="R25" i="39"/>
  <c r="Q25" i="47"/>
  <c r="AF8" i="49"/>
  <c r="I44" i="26"/>
  <c r="G9" i="41" s="1"/>
  <c r="H9" i="41" s="1"/>
  <c r="AA14" i="37"/>
  <c r="E7" i="52" s="1"/>
  <c r="E121" i="59" s="1"/>
  <c r="G54" i="29"/>
  <c r="H54" i="32" s="1"/>
  <c r="AE8" i="51" s="1"/>
  <c r="H54" i="25"/>
  <c r="X8" i="42" s="1"/>
  <c r="M23" i="26"/>
  <c r="P41" i="37" s="1"/>
  <c r="R41" i="37" s="1"/>
  <c r="Z13" i="37"/>
  <c r="Z14" i="37" s="1"/>
  <c r="R36" i="41"/>
  <c r="J33" i="31"/>
  <c r="S10" i="48" s="1"/>
  <c r="J40" i="32"/>
  <c r="T24" i="49" s="1"/>
  <c r="K35" i="26"/>
  <c r="P39" i="39" s="1"/>
  <c r="Q39" i="39" s="1"/>
  <c r="I39" i="32"/>
  <c r="T9" i="49" s="1"/>
  <c r="V9" i="49" s="1"/>
  <c r="I48" i="26"/>
  <c r="Y9" i="41" s="1"/>
  <c r="Z9" i="41" s="1"/>
  <c r="J38" i="26"/>
  <c r="G10" i="40" s="1"/>
  <c r="I10" i="40" s="1"/>
  <c r="AA11" i="38"/>
  <c r="U25" i="46"/>
  <c r="K35" i="24"/>
  <c r="L35" i="26" s="1"/>
  <c r="P40" i="39" s="1"/>
  <c r="I42" i="32"/>
  <c r="AE9" i="49" s="1"/>
  <c r="AF9" i="49" s="1"/>
  <c r="N36" i="41"/>
  <c r="H53" i="26"/>
  <c r="P36" i="42" s="1"/>
  <c r="R36" i="42" s="1"/>
  <c r="J33" i="30"/>
  <c r="R10" i="48" s="1"/>
  <c r="P41" i="45"/>
  <c r="G51" i="29"/>
  <c r="Q7" i="51" s="1"/>
  <c r="G51" i="30"/>
  <c r="R7" i="51" s="1"/>
  <c r="L20" i="32"/>
  <c r="I12" i="46" s="1"/>
  <c r="K12" i="46" s="1"/>
  <c r="H53" i="24"/>
  <c r="N36" i="42" s="1"/>
  <c r="L29" i="26"/>
  <c r="P40" i="38" s="1"/>
  <c r="R40" i="38" s="1"/>
  <c r="H3" i="56"/>
  <c r="J36" i="32"/>
  <c r="AE10" i="48" s="1"/>
  <c r="AG10" i="48" s="1"/>
  <c r="J40" i="31"/>
  <c r="S24" i="49" s="1"/>
  <c r="J40" i="30"/>
  <c r="R24" i="49" s="1"/>
  <c r="J41" i="26"/>
  <c r="P38" i="40" s="1"/>
  <c r="Q38" i="40" s="1"/>
  <c r="I45" i="25"/>
  <c r="O9" i="41" s="1"/>
  <c r="H45" i="30"/>
  <c r="R8" i="50" s="1"/>
  <c r="J36" i="29"/>
  <c r="AB10" i="48" s="1"/>
  <c r="G50" i="29"/>
  <c r="G50" i="30"/>
  <c r="G7" i="51" s="1"/>
  <c r="M22" i="26"/>
  <c r="P27" i="37" s="1"/>
  <c r="Q27" i="37" s="1"/>
  <c r="Q28" i="37" s="1"/>
  <c r="H11" i="38"/>
  <c r="L34" i="24"/>
  <c r="M34" i="26" s="1"/>
  <c r="P27" i="39" s="1"/>
  <c r="M23" i="28"/>
  <c r="P41" i="46" s="1"/>
  <c r="K27" i="31"/>
  <c r="S11" i="47" s="1"/>
  <c r="AB9" i="48"/>
  <c r="I46" i="32"/>
  <c r="T23" i="50" s="1"/>
  <c r="U23" i="50" s="1"/>
  <c r="I46" i="31"/>
  <c r="S23" i="50" s="1"/>
  <c r="I46" i="30"/>
  <c r="R23" i="50" s="1"/>
  <c r="M23" i="25"/>
  <c r="O41" i="37" s="1"/>
  <c r="M16" i="31"/>
  <c r="S27" i="45" s="1"/>
  <c r="J36" i="30"/>
  <c r="AC10" i="48" s="1"/>
  <c r="N8" i="53"/>
  <c r="J36" i="31"/>
  <c r="AD10" i="48" s="1"/>
  <c r="K29" i="32"/>
  <c r="T39" i="47" s="1"/>
  <c r="V39" i="47" s="1"/>
  <c r="C120" i="59"/>
  <c r="C118" i="59"/>
  <c r="D117" i="59"/>
  <c r="I42" i="30"/>
  <c r="AC9" i="49" s="1"/>
  <c r="I42" i="31"/>
  <c r="AD9" i="49" s="1"/>
  <c r="Q22" i="51"/>
  <c r="Q9" i="49"/>
  <c r="Q25" i="48"/>
  <c r="AB9" i="49"/>
  <c r="W9" i="41"/>
  <c r="Q11" i="47"/>
  <c r="Z10" i="39"/>
  <c r="AA10" i="39"/>
  <c r="N39" i="49"/>
  <c r="L39" i="40"/>
  <c r="N41" i="47"/>
  <c r="L41" i="38"/>
  <c r="L23" i="32"/>
  <c r="T40" i="46" s="1"/>
  <c r="R39" i="46"/>
  <c r="V38" i="47"/>
  <c r="U38" i="47"/>
  <c r="M17" i="32"/>
  <c r="T41" i="45" s="1"/>
  <c r="Q40" i="45"/>
  <c r="Q8" i="41"/>
  <c r="R8" i="41"/>
  <c r="P36" i="50"/>
  <c r="H47" i="31"/>
  <c r="S36" i="50" s="1"/>
  <c r="H47" i="30"/>
  <c r="R36" i="50" s="1"/>
  <c r="H47" i="29"/>
  <c r="J38" i="28"/>
  <c r="J38" i="30" s="1"/>
  <c r="G10" i="49" s="1"/>
  <c r="I38" i="29"/>
  <c r="I38" i="31"/>
  <c r="H9" i="49" s="1"/>
  <c r="I38" i="30"/>
  <c r="G9" i="49" s="1"/>
  <c r="V9" i="48"/>
  <c r="U9" i="48"/>
  <c r="K34" i="31"/>
  <c r="S25" i="48" s="1"/>
  <c r="V7" i="50"/>
  <c r="U7" i="50"/>
  <c r="Q24" i="48"/>
  <c r="K34" i="32"/>
  <c r="T25" i="48" s="1"/>
  <c r="V8" i="49"/>
  <c r="U8" i="49"/>
  <c r="L50" i="22"/>
  <c r="C11" i="42"/>
  <c r="U13" i="44"/>
  <c r="U14" i="44" s="1"/>
  <c r="V13" i="44"/>
  <c r="V14" i="44" s="1"/>
  <c r="C4" i="34" s="1"/>
  <c r="C134" i="59" s="1"/>
  <c r="Q23" i="50"/>
  <c r="Y13" i="47"/>
  <c r="U13" i="38"/>
  <c r="M30" i="23"/>
  <c r="M30" i="24" s="1"/>
  <c r="W13" i="38" s="1"/>
  <c r="P37" i="49"/>
  <c r="I41" i="31"/>
  <c r="S37" i="49" s="1"/>
  <c r="I41" i="30"/>
  <c r="R37" i="49" s="1"/>
  <c r="I41" i="29"/>
  <c r="K32" i="28"/>
  <c r="K32" i="30" s="1"/>
  <c r="G11" i="48" s="1"/>
  <c r="Q25" i="46"/>
  <c r="L22" i="32"/>
  <c r="T26" i="46" s="1"/>
  <c r="U34" i="51"/>
  <c r="V34" i="51"/>
  <c r="H44" i="32"/>
  <c r="I44" i="28"/>
  <c r="I44" i="29" s="1"/>
  <c r="H44" i="31"/>
  <c r="H8" i="50" s="1"/>
  <c r="H44" i="30"/>
  <c r="G8" i="50" s="1"/>
  <c r="H44" i="29"/>
  <c r="H10" i="40"/>
  <c r="R9" i="40"/>
  <c r="Q9" i="40"/>
  <c r="Q11" i="46"/>
  <c r="L21" i="32"/>
  <c r="T12" i="46" s="1"/>
  <c r="U11" i="46"/>
  <c r="V11" i="46"/>
  <c r="N11" i="38"/>
  <c r="L27" i="26"/>
  <c r="P12" i="38" s="1"/>
  <c r="K32" i="26"/>
  <c r="G11" i="39" s="1"/>
  <c r="E10" i="39"/>
  <c r="J32" i="29"/>
  <c r="V36" i="49"/>
  <c r="U36" i="49"/>
  <c r="H45" i="32"/>
  <c r="T8" i="50" s="1"/>
  <c r="M18" i="30"/>
  <c r="AC13" i="45" s="1"/>
  <c r="AA13" i="45"/>
  <c r="M18" i="31"/>
  <c r="AD13" i="45" s="1"/>
  <c r="M18" i="29"/>
  <c r="AB13" i="45" s="1"/>
  <c r="AF6" i="51"/>
  <c r="AG6" i="51"/>
  <c r="Q24" i="49"/>
  <c r="W11" i="38"/>
  <c r="L30" i="26"/>
  <c r="Y12" i="38" s="1"/>
  <c r="M18" i="32"/>
  <c r="AE13" i="45" s="1"/>
  <c r="AB12" i="45"/>
  <c r="Q26" i="38"/>
  <c r="R26" i="38"/>
  <c r="E13" i="45"/>
  <c r="M14" i="31"/>
  <c r="H13" i="45" s="1"/>
  <c r="M14" i="29"/>
  <c r="F13" i="45" s="1"/>
  <c r="M14" i="30"/>
  <c r="G13" i="45" s="1"/>
  <c r="C13" i="47"/>
  <c r="C13" i="38"/>
  <c r="M26" i="23"/>
  <c r="L23" i="30"/>
  <c r="R40" i="46" s="1"/>
  <c r="P40" i="46"/>
  <c r="L23" i="29"/>
  <c r="L23" i="31"/>
  <c r="S40" i="46" s="1"/>
  <c r="AB6" i="51"/>
  <c r="G54" i="32"/>
  <c r="AE7" i="51" s="1"/>
  <c r="H51" i="28"/>
  <c r="H51" i="30" s="1"/>
  <c r="R8" i="51" s="1"/>
  <c r="P7" i="51"/>
  <c r="L34" i="26"/>
  <c r="P26" i="39" s="1"/>
  <c r="N25" i="39"/>
  <c r="M22" i="24"/>
  <c r="N27" i="37" s="1"/>
  <c r="V25" i="47"/>
  <c r="U25" i="47"/>
  <c r="M28" i="24"/>
  <c r="N27" i="38" s="1"/>
  <c r="M28" i="26"/>
  <c r="P27" i="38" s="1"/>
  <c r="N26" i="38"/>
  <c r="Q26" i="45"/>
  <c r="M16" i="32"/>
  <c r="T27" i="45" s="1"/>
  <c r="J38" i="24"/>
  <c r="Q7" i="42"/>
  <c r="R7" i="42"/>
  <c r="R28" i="36"/>
  <c r="D5" i="52" s="1"/>
  <c r="AB7" i="50"/>
  <c r="H48" i="32"/>
  <c r="AE8" i="50" s="1"/>
  <c r="I48" i="25"/>
  <c r="X9" i="41" s="1"/>
  <c r="K48" i="22"/>
  <c r="Y10" i="50"/>
  <c r="U10" i="41"/>
  <c r="Z8" i="51"/>
  <c r="V8" i="42"/>
  <c r="H54" i="28"/>
  <c r="I54" i="23"/>
  <c r="I54" i="25" s="1"/>
  <c r="X9" i="42" s="1"/>
  <c r="K33" i="28"/>
  <c r="K33" i="31" s="1"/>
  <c r="S11" i="48" s="1"/>
  <c r="P10" i="48"/>
  <c r="AA11" i="47"/>
  <c r="K30" i="30"/>
  <c r="AC11" i="47" s="1"/>
  <c r="K30" i="31"/>
  <c r="AD11" i="47" s="1"/>
  <c r="K30" i="29"/>
  <c r="V6" i="51"/>
  <c r="U6" i="51"/>
  <c r="D9" i="41"/>
  <c r="J44" i="23"/>
  <c r="J44" i="24" s="1"/>
  <c r="V35" i="50"/>
  <c r="U35" i="50"/>
  <c r="O26" i="48"/>
  <c r="M26" i="39"/>
  <c r="M34" i="23"/>
  <c r="M34" i="25" s="1"/>
  <c r="O27" i="39" s="1"/>
  <c r="M16" i="29"/>
  <c r="Q27" i="45" s="1"/>
  <c r="M20" i="25"/>
  <c r="F13" i="37" s="1"/>
  <c r="L28" i="29"/>
  <c r="D13" i="46"/>
  <c r="D13" i="37"/>
  <c r="I52" i="28"/>
  <c r="I52" i="29" s="1"/>
  <c r="P22" i="51"/>
  <c r="N23" i="41"/>
  <c r="J46" i="26"/>
  <c r="P24" i="41" s="1"/>
  <c r="Z12" i="47"/>
  <c r="V12" i="38"/>
  <c r="L30" i="28"/>
  <c r="L30" i="31" s="1"/>
  <c r="AD12" i="47" s="1"/>
  <c r="J41" i="28"/>
  <c r="J41" i="31" s="1"/>
  <c r="S38" i="49" s="1"/>
  <c r="O38" i="49"/>
  <c r="M38" i="40"/>
  <c r="K41" i="23"/>
  <c r="K41" i="25" s="1"/>
  <c r="O39" i="40" s="1"/>
  <c r="P38" i="48"/>
  <c r="J35" i="29"/>
  <c r="J35" i="30"/>
  <c r="R38" i="48" s="1"/>
  <c r="J35" i="31"/>
  <c r="S38" i="48" s="1"/>
  <c r="U24" i="48"/>
  <c r="V24" i="48"/>
  <c r="M24" i="32"/>
  <c r="AE13" i="46" s="1"/>
  <c r="AB12" i="46"/>
  <c r="Q40" i="37"/>
  <c r="R40" i="37"/>
  <c r="AG12" i="46"/>
  <c r="AF12" i="46"/>
  <c r="K45" i="22"/>
  <c r="N10" i="50"/>
  <c r="L10" i="41"/>
  <c r="O27" i="46"/>
  <c r="M27" i="37"/>
  <c r="D11" i="39"/>
  <c r="L32" i="23"/>
  <c r="K32" i="25"/>
  <c r="F11" i="39" s="1"/>
  <c r="K32" i="24"/>
  <c r="K40" i="26"/>
  <c r="P25" i="40" s="1"/>
  <c r="N24" i="40"/>
  <c r="Q37" i="48"/>
  <c r="J35" i="32"/>
  <c r="T38" i="48" s="1"/>
  <c r="I38" i="32"/>
  <c r="L27" i="28"/>
  <c r="L27" i="30" s="1"/>
  <c r="R12" i="47" s="1"/>
  <c r="P11" i="47"/>
  <c r="O8" i="51"/>
  <c r="M8" i="42"/>
  <c r="I51" i="23"/>
  <c r="H51" i="24"/>
  <c r="H51" i="25"/>
  <c r="O8" i="42" s="1"/>
  <c r="F12" i="45"/>
  <c r="M14" i="32"/>
  <c r="I13" i="45" s="1"/>
  <c r="H13" i="37"/>
  <c r="I13" i="37"/>
  <c r="D12" i="47"/>
  <c r="D12" i="38"/>
  <c r="W8" i="42"/>
  <c r="K36" i="26"/>
  <c r="Y11" i="39" s="1"/>
  <c r="W10" i="39"/>
  <c r="Z11" i="48"/>
  <c r="V11" i="39"/>
  <c r="K36" i="28"/>
  <c r="K36" i="31" s="1"/>
  <c r="AD11" i="48" s="1"/>
  <c r="L36" i="23"/>
  <c r="K36" i="24"/>
  <c r="K36" i="25"/>
  <c r="X11" i="39" s="1"/>
  <c r="M22" i="25"/>
  <c r="O27" i="37" s="1"/>
  <c r="J46" i="28"/>
  <c r="J46" i="29" s="1"/>
  <c r="P23" i="50"/>
  <c r="AG10" i="47"/>
  <c r="AF10" i="47"/>
  <c r="Z10" i="49"/>
  <c r="V10" i="40"/>
  <c r="K42" i="23"/>
  <c r="J42" i="25"/>
  <c r="X10" i="40" s="1"/>
  <c r="J42" i="24"/>
  <c r="O27" i="47"/>
  <c r="M27" i="38"/>
  <c r="R23" i="41"/>
  <c r="Q23" i="41"/>
  <c r="R35" i="50"/>
  <c r="H47" i="32"/>
  <c r="T36" i="50" s="1"/>
  <c r="N27" i="48"/>
  <c r="L27" i="39"/>
  <c r="N8" i="41"/>
  <c r="I45" i="26"/>
  <c r="P9" i="41" s="1"/>
  <c r="N22" i="42"/>
  <c r="I52" i="26"/>
  <c r="P23" i="42" s="1"/>
  <c r="Q10" i="47"/>
  <c r="K27" i="32"/>
  <c r="T11" i="47" s="1"/>
  <c r="AA9" i="40"/>
  <c r="Z9" i="40"/>
  <c r="G50" i="32"/>
  <c r="AA13" i="46"/>
  <c r="M24" i="29"/>
  <c r="AB13" i="46" s="1"/>
  <c r="M24" i="31"/>
  <c r="AD13" i="46" s="1"/>
  <c r="R13" i="37"/>
  <c r="R14" i="37" s="1"/>
  <c r="E4" i="52" s="1"/>
  <c r="Q13" i="37"/>
  <c r="Q14" i="37" s="1"/>
  <c r="H50" i="28"/>
  <c r="H50" i="31" s="1"/>
  <c r="H8" i="51" s="1"/>
  <c r="N9" i="40"/>
  <c r="J39" i="26"/>
  <c r="P10" i="40" s="1"/>
  <c r="K44" i="22"/>
  <c r="C10" i="41"/>
  <c r="M20" i="24"/>
  <c r="E13" i="37" s="1"/>
  <c r="I47" i="28"/>
  <c r="I47" i="29" s="1"/>
  <c r="Q37" i="50" s="1"/>
  <c r="O37" i="50"/>
  <c r="M37" i="41"/>
  <c r="J47" i="23"/>
  <c r="J47" i="25" s="1"/>
  <c r="O38" i="41" s="1"/>
  <c r="N40" i="48"/>
  <c r="L40" i="39"/>
  <c r="N37" i="51"/>
  <c r="L37" i="42"/>
  <c r="I47" i="25"/>
  <c r="O37" i="41" s="1"/>
  <c r="N38" i="50"/>
  <c r="L38" i="41"/>
  <c r="K29" i="30"/>
  <c r="R39" i="47" s="1"/>
  <c r="P39" i="47"/>
  <c r="AG12" i="45"/>
  <c r="AF12" i="45"/>
  <c r="Q9" i="48"/>
  <c r="J33" i="32"/>
  <c r="T10" i="48" s="1"/>
  <c r="J39" i="28"/>
  <c r="J39" i="30" s="1"/>
  <c r="R10" i="49" s="1"/>
  <c r="P9" i="49"/>
  <c r="L26" i="28"/>
  <c r="L26" i="31" s="1"/>
  <c r="H12" i="47" s="1"/>
  <c r="K26" i="30"/>
  <c r="G11" i="47" s="1"/>
  <c r="M28" i="28"/>
  <c r="P27" i="47" s="1"/>
  <c r="P26" i="47"/>
  <c r="M20" i="28"/>
  <c r="E13" i="46" s="1"/>
  <c r="E12" i="46"/>
  <c r="L20" i="31"/>
  <c r="H12" i="46" s="1"/>
  <c r="L20" i="30"/>
  <c r="G12" i="46" s="1"/>
  <c r="L20" i="29"/>
  <c r="L30" i="24"/>
  <c r="K35" i="28"/>
  <c r="O39" i="48"/>
  <c r="M39" i="39"/>
  <c r="L35" i="23"/>
  <c r="L35" i="24" s="1"/>
  <c r="M22" i="28"/>
  <c r="P27" i="46" s="1"/>
  <c r="P26" i="46"/>
  <c r="L22" i="30"/>
  <c r="R26" i="46" s="1"/>
  <c r="L22" i="29"/>
  <c r="L22" i="31"/>
  <c r="S26" i="46" s="1"/>
  <c r="P35" i="51"/>
  <c r="G53" i="31"/>
  <c r="S35" i="51" s="1"/>
  <c r="G53" i="30"/>
  <c r="R35" i="51" s="1"/>
  <c r="G53" i="29"/>
  <c r="V7" i="51"/>
  <c r="U7" i="51"/>
  <c r="J12" i="45"/>
  <c r="K12" i="45"/>
  <c r="Y13" i="48"/>
  <c r="U13" i="39"/>
  <c r="Q8" i="50"/>
  <c r="Q22" i="42"/>
  <c r="R22" i="42"/>
  <c r="Q11" i="38"/>
  <c r="R11" i="38"/>
  <c r="K27" i="30"/>
  <c r="R11" i="47" s="1"/>
  <c r="J32" i="31"/>
  <c r="H10" i="48" s="1"/>
  <c r="C13" i="48"/>
  <c r="C13" i="39"/>
  <c r="Q36" i="49"/>
  <c r="I41" i="32"/>
  <c r="T37" i="49" s="1"/>
  <c r="U22" i="50"/>
  <c r="V22" i="50"/>
  <c r="AG13" i="44"/>
  <c r="AG14" i="44" s="1"/>
  <c r="C7" i="34" s="1"/>
  <c r="C137" i="59" s="1"/>
  <c r="AF13" i="44"/>
  <c r="AF14" i="44" s="1"/>
  <c r="N7" i="42"/>
  <c r="H51" i="26"/>
  <c r="P8" i="42" s="1"/>
  <c r="L26" i="24"/>
  <c r="J54" i="22"/>
  <c r="Y9" i="51"/>
  <c r="U9" i="42"/>
  <c r="I12" i="37"/>
  <c r="H12" i="37"/>
  <c r="V37" i="48"/>
  <c r="U37" i="48"/>
  <c r="J42" i="26"/>
  <c r="Y10" i="40" s="1"/>
  <c r="W9" i="40"/>
  <c r="J42" i="28"/>
  <c r="AA10" i="49" s="1"/>
  <c r="AA9" i="49"/>
  <c r="E7" i="42"/>
  <c r="H50" i="26"/>
  <c r="G8" i="42" s="1"/>
  <c r="H7" i="42"/>
  <c r="I7" i="42"/>
  <c r="L38" i="22"/>
  <c r="C11" i="40"/>
  <c r="V26" i="47"/>
  <c r="U26" i="47"/>
  <c r="K51" i="22"/>
  <c r="N10" i="51"/>
  <c r="L10" i="42"/>
  <c r="Y12" i="49"/>
  <c r="U12" i="40"/>
  <c r="M42" i="22"/>
  <c r="Q10" i="48"/>
  <c r="O11" i="48"/>
  <c r="M11" i="39"/>
  <c r="L33" i="23"/>
  <c r="K33" i="25"/>
  <c r="O11" i="39" s="1"/>
  <c r="K33" i="24"/>
  <c r="H52" i="31"/>
  <c r="S22" i="51" s="1"/>
  <c r="AA8" i="50"/>
  <c r="H48" i="31"/>
  <c r="AD8" i="50" s="1"/>
  <c r="H48" i="30"/>
  <c r="AC8" i="50" s="1"/>
  <c r="H48" i="29"/>
  <c r="AF7" i="50"/>
  <c r="AG7" i="50"/>
  <c r="M39" i="22"/>
  <c r="N12" i="49"/>
  <c r="L12" i="40"/>
  <c r="I39" i="30"/>
  <c r="R9" i="49" s="1"/>
  <c r="O10" i="49"/>
  <c r="M10" i="40"/>
  <c r="K39" i="23"/>
  <c r="J39" i="24"/>
  <c r="J39" i="25"/>
  <c r="O10" i="40" s="1"/>
  <c r="I44" i="25"/>
  <c r="F9" i="41" s="1"/>
  <c r="E11" i="38"/>
  <c r="L26" i="26"/>
  <c r="G12" i="38" s="1"/>
  <c r="R42" i="36"/>
  <c r="D6" i="52" s="1"/>
  <c r="H52" i="32"/>
  <c r="T22" i="51" s="1"/>
  <c r="K26" i="31"/>
  <c r="H11" i="47" s="1"/>
  <c r="N37" i="41"/>
  <c r="V21" i="51"/>
  <c r="U21" i="51"/>
  <c r="J32" i="32"/>
  <c r="D10" i="40"/>
  <c r="K38" i="23"/>
  <c r="V39" i="46"/>
  <c r="U39" i="46"/>
  <c r="J41" i="25"/>
  <c r="O38" i="40" s="1"/>
  <c r="O40" i="47"/>
  <c r="M40" i="38"/>
  <c r="V40" i="45"/>
  <c r="U40" i="45"/>
  <c r="Q10" i="39"/>
  <c r="R10" i="39"/>
  <c r="Z9" i="50"/>
  <c r="V9" i="41"/>
  <c r="I48" i="28"/>
  <c r="AA9" i="50" s="1"/>
  <c r="J48" i="23"/>
  <c r="L34" i="28"/>
  <c r="P25" i="48"/>
  <c r="K46" i="22"/>
  <c r="N24" i="50"/>
  <c r="L24" i="41"/>
  <c r="J46" i="25"/>
  <c r="O24" i="41" s="1"/>
  <c r="J46" i="24"/>
  <c r="V24" i="49"/>
  <c r="U24" i="49"/>
  <c r="L30" i="25"/>
  <c r="X12" i="38" s="1"/>
  <c r="H53" i="28"/>
  <c r="O36" i="51"/>
  <c r="M36" i="42"/>
  <c r="I53" i="23"/>
  <c r="I53" i="25" s="1"/>
  <c r="O37" i="42" s="1"/>
  <c r="V13" i="45"/>
  <c r="V14" i="45" s="1"/>
  <c r="D4" i="34" s="1"/>
  <c r="D134" i="59" s="1"/>
  <c r="U13" i="45"/>
  <c r="U14" i="45" s="1"/>
  <c r="R37" i="41"/>
  <c r="Q37" i="41"/>
  <c r="M21" i="28"/>
  <c r="P12" i="46"/>
  <c r="L21" i="30"/>
  <c r="R12" i="46" s="1"/>
  <c r="L21" i="29"/>
  <c r="L21" i="31"/>
  <c r="S12" i="46" s="1"/>
  <c r="N9" i="41"/>
  <c r="O12" i="47"/>
  <c r="M12" i="38"/>
  <c r="L27" i="24"/>
  <c r="L27" i="25"/>
  <c r="O12" i="38" s="1"/>
  <c r="M27" i="23"/>
  <c r="AA7" i="42"/>
  <c r="Z7" i="42"/>
  <c r="L40" i="22"/>
  <c r="N25" i="49"/>
  <c r="L25" i="40"/>
  <c r="K40" i="24"/>
  <c r="K40" i="25"/>
  <c r="O25" i="40" s="1"/>
  <c r="Q34" i="51"/>
  <c r="G53" i="32"/>
  <c r="T35" i="51" s="1"/>
  <c r="O9" i="50"/>
  <c r="M9" i="41"/>
  <c r="J45" i="23"/>
  <c r="L26" i="25"/>
  <c r="F12" i="38" s="1"/>
  <c r="K26" i="32"/>
  <c r="O41" i="46"/>
  <c r="M41" i="37"/>
  <c r="H54" i="26"/>
  <c r="Y8" i="42" s="1"/>
  <c r="W7" i="42"/>
  <c r="K34" i="30"/>
  <c r="R25" i="48" s="1"/>
  <c r="V10" i="47"/>
  <c r="U10" i="47"/>
  <c r="I10" i="39"/>
  <c r="H10" i="39"/>
  <c r="I45" i="28"/>
  <c r="P8" i="50"/>
  <c r="M22" i="30"/>
  <c r="R27" i="46" s="1"/>
  <c r="O25" i="49"/>
  <c r="M25" i="40"/>
  <c r="L40" i="23"/>
  <c r="K40" i="28"/>
  <c r="K40" i="29" s="1"/>
  <c r="P24" i="49"/>
  <c r="D8" i="42"/>
  <c r="I50" i="23"/>
  <c r="H50" i="24"/>
  <c r="H50" i="25"/>
  <c r="F8" i="42" s="1"/>
  <c r="M28" i="25"/>
  <c r="O27" i="38" s="1"/>
  <c r="L28" i="31"/>
  <c r="S26" i="47" s="1"/>
  <c r="J38" i="25"/>
  <c r="F10" i="40" s="1"/>
  <c r="J38" i="29"/>
  <c r="O23" i="51"/>
  <c r="M23" i="42"/>
  <c r="J52" i="23"/>
  <c r="O24" i="50"/>
  <c r="M24" i="41"/>
  <c r="K46" i="23"/>
  <c r="N10" i="39"/>
  <c r="K33" i="26"/>
  <c r="P11" i="39" s="1"/>
  <c r="U26" i="45"/>
  <c r="V26" i="45"/>
  <c r="H52" i="30"/>
  <c r="R22" i="51" s="1"/>
  <c r="J52" i="22"/>
  <c r="N23" i="51"/>
  <c r="L23" i="42"/>
  <c r="I52" i="24"/>
  <c r="I52" i="25"/>
  <c r="O23" i="42" s="1"/>
  <c r="Q28" i="36"/>
  <c r="AA13" i="36"/>
  <c r="AA14" i="36" s="1"/>
  <c r="D7" i="52" s="1"/>
  <c r="Z13" i="36"/>
  <c r="Z14" i="36" s="1"/>
  <c r="R24" i="40"/>
  <c r="Q24" i="40"/>
  <c r="AB10" i="47"/>
  <c r="K30" i="32"/>
  <c r="AE11" i="47" s="1"/>
  <c r="N13" i="48"/>
  <c r="L13" i="39"/>
  <c r="I39" i="31"/>
  <c r="S9" i="49" s="1"/>
  <c r="I44" i="24"/>
  <c r="AF9" i="48"/>
  <c r="AG9" i="48"/>
  <c r="Q42" i="36"/>
  <c r="R39" i="38"/>
  <c r="Q39" i="38"/>
  <c r="V41" i="44"/>
  <c r="V42" i="44" s="1"/>
  <c r="C6" i="34" s="1"/>
  <c r="C136" i="59" s="1"/>
  <c r="U41" i="44"/>
  <c r="U42" i="44" s="1"/>
  <c r="H45" i="31"/>
  <c r="S8" i="50" s="1"/>
  <c r="M16" i="30"/>
  <c r="R27" i="45" s="1"/>
  <c r="L29" i="28"/>
  <c r="P40" i="47" s="1"/>
  <c r="K29" i="31"/>
  <c r="S39" i="47" s="1"/>
  <c r="K29" i="29"/>
  <c r="L41" i="22"/>
  <c r="L29" i="25"/>
  <c r="O40" i="38" s="1"/>
  <c r="K47" i="22"/>
  <c r="M29" i="23"/>
  <c r="J53" i="22"/>
  <c r="M35" i="22"/>
  <c r="L29" i="24"/>
  <c r="C8" i="34" l="1"/>
  <c r="I11" i="51"/>
  <c r="I11" i="50"/>
  <c r="I11" i="49"/>
  <c r="I11" i="48"/>
  <c r="I11" i="47"/>
  <c r="J10" i="47"/>
  <c r="K10" i="47"/>
  <c r="J10" i="48"/>
  <c r="K10" i="48"/>
  <c r="K10" i="50"/>
  <c r="J10" i="50"/>
  <c r="J10" i="49"/>
  <c r="K10" i="49"/>
  <c r="J10" i="51"/>
  <c r="K10" i="51"/>
  <c r="Q41" i="37"/>
  <c r="AF10" i="48"/>
  <c r="I9" i="41"/>
  <c r="J46" i="31"/>
  <c r="S24" i="50" s="1"/>
  <c r="J47" i="24"/>
  <c r="K47" i="26" s="1"/>
  <c r="P39" i="41" s="1"/>
  <c r="L26" i="30"/>
  <c r="G12" i="47" s="1"/>
  <c r="AB7" i="51"/>
  <c r="U39" i="47"/>
  <c r="M28" i="30"/>
  <c r="R27" i="47" s="1"/>
  <c r="R39" i="39"/>
  <c r="I54" i="26"/>
  <c r="Y9" i="42" s="1"/>
  <c r="AA9" i="42" s="1"/>
  <c r="H51" i="32"/>
  <c r="T8" i="51" s="1"/>
  <c r="V8" i="51" s="1"/>
  <c r="Q40" i="38"/>
  <c r="J41" i="29"/>
  <c r="Q38" i="49" s="1"/>
  <c r="U9" i="49"/>
  <c r="K32" i="29"/>
  <c r="J12" i="46"/>
  <c r="N26" i="39"/>
  <c r="K33" i="32"/>
  <c r="T11" i="48" s="1"/>
  <c r="V11" i="48" s="1"/>
  <c r="M23" i="30"/>
  <c r="R41" i="46" s="1"/>
  <c r="I54" i="24"/>
  <c r="J54" i="26" s="1"/>
  <c r="Y10" i="42" s="1"/>
  <c r="M23" i="31"/>
  <c r="S41" i="46" s="1"/>
  <c r="M23" i="29"/>
  <c r="Q41" i="46" s="1"/>
  <c r="J46" i="30"/>
  <c r="R24" i="50" s="1"/>
  <c r="AA9" i="41"/>
  <c r="K40" i="32"/>
  <c r="T25" i="49" s="1"/>
  <c r="V25" i="49" s="1"/>
  <c r="H51" i="31"/>
  <c r="S8" i="51" s="1"/>
  <c r="Q36" i="42"/>
  <c r="J45" i="26"/>
  <c r="P10" i="41" s="1"/>
  <c r="R10" i="41" s="1"/>
  <c r="I44" i="30"/>
  <c r="G9" i="50" s="1"/>
  <c r="K36" i="32"/>
  <c r="AE11" i="48" s="1"/>
  <c r="AG11" i="48" s="1"/>
  <c r="I53" i="26"/>
  <c r="P37" i="42" s="1"/>
  <c r="L27" i="31"/>
  <c r="S12" i="47" s="1"/>
  <c r="K33" i="30"/>
  <c r="R11" i="48" s="1"/>
  <c r="H51" i="29"/>
  <c r="Q8" i="51" s="1"/>
  <c r="AG9" i="49"/>
  <c r="L27" i="29"/>
  <c r="Q12" i="47" s="1"/>
  <c r="I48" i="30"/>
  <c r="AC9" i="50" s="1"/>
  <c r="R38" i="40"/>
  <c r="I44" i="31"/>
  <c r="H9" i="50" s="1"/>
  <c r="N39" i="39"/>
  <c r="H50" i="30"/>
  <c r="G8" i="51" s="1"/>
  <c r="H50" i="29"/>
  <c r="J39" i="29"/>
  <c r="Q10" i="49" s="1"/>
  <c r="L29" i="30"/>
  <c r="R40" i="47" s="1"/>
  <c r="M22" i="31"/>
  <c r="S27" i="46" s="1"/>
  <c r="J44" i="25"/>
  <c r="F10" i="41" s="1"/>
  <c r="V23" i="50"/>
  <c r="R27" i="37"/>
  <c r="R28" i="37" s="1"/>
  <c r="E5" i="52" s="1"/>
  <c r="K41" i="24"/>
  <c r="N39" i="40" s="1"/>
  <c r="H50" i="32"/>
  <c r="I52" i="31"/>
  <c r="S23" i="51" s="1"/>
  <c r="I52" i="30"/>
  <c r="R23" i="51" s="1"/>
  <c r="J39" i="31"/>
  <c r="S10" i="49" s="1"/>
  <c r="K33" i="29"/>
  <c r="Q11" i="48" s="1"/>
  <c r="M34" i="24"/>
  <c r="N27" i="39" s="1"/>
  <c r="J46" i="32"/>
  <c r="T24" i="50" s="1"/>
  <c r="U24" i="50" s="1"/>
  <c r="M28" i="31"/>
  <c r="S27" i="47" s="1"/>
  <c r="M20" i="30"/>
  <c r="G13" i="46" s="1"/>
  <c r="J47" i="26"/>
  <c r="P38" i="41" s="1"/>
  <c r="Q38" i="41" s="1"/>
  <c r="M20" i="31"/>
  <c r="H13" i="46" s="1"/>
  <c r="K32" i="31"/>
  <c r="H11" i="48" s="1"/>
  <c r="K41" i="26"/>
  <c r="P39" i="40" s="1"/>
  <c r="R39" i="40" s="1"/>
  <c r="Q42" i="37"/>
  <c r="L35" i="25"/>
  <c r="O40" i="39" s="1"/>
  <c r="I53" i="24"/>
  <c r="N37" i="42" s="1"/>
  <c r="D120" i="59"/>
  <c r="E118" i="59"/>
  <c r="K40" i="31"/>
  <c r="S25" i="49" s="1"/>
  <c r="K36" i="29"/>
  <c r="AB11" i="48" s="1"/>
  <c r="D119" i="59"/>
  <c r="J42" i="32"/>
  <c r="AE10" i="49" s="1"/>
  <c r="AF10" i="49" s="1"/>
  <c r="D121" i="59"/>
  <c r="Q25" i="49"/>
  <c r="N38" i="51"/>
  <c r="L38" i="42"/>
  <c r="N40" i="39"/>
  <c r="M29" i="28"/>
  <c r="P41" i="47" s="1"/>
  <c r="O41" i="47"/>
  <c r="M41" i="38"/>
  <c r="N40" i="49"/>
  <c r="L40" i="40"/>
  <c r="AF11" i="47"/>
  <c r="AG11" i="47"/>
  <c r="D8" i="52"/>
  <c r="O24" i="51"/>
  <c r="M24" i="42"/>
  <c r="K52" i="23"/>
  <c r="O26" i="49"/>
  <c r="M26" i="40"/>
  <c r="M40" i="23"/>
  <c r="V35" i="51"/>
  <c r="U35" i="51"/>
  <c r="K40" i="30"/>
  <c r="R25" i="49" s="1"/>
  <c r="Q12" i="46"/>
  <c r="M21" i="32"/>
  <c r="T13" i="46" s="1"/>
  <c r="L46" i="22"/>
  <c r="N25" i="50"/>
  <c r="L25" i="41"/>
  <c r="K46" i="25"/>
  <c r="O25" i="41" s="1"/>
  <c r="K46" i="24"/>
  <c r="Z10" i="50"/>
  <c r="V10" i="41"/>
  <c r="K48" i="23"/>
  <c r="J48" i="28"/>
  <c r="J48" i="29" s="1"/>
  <c r="U22" i="51"/>
  <c r="V22" i="51"/>
  <c r="N10" i="40"/>
  <c r="K39" i="26"/>
  <c r="P11" i="40" s="1"/>
  <c r="M38" i="22"/>
  <c r="C12" i="49"/>
  <c r="C12" i="40"/>
  <c r="K54" i="22"/>
  <c r="Y10" i="51"/>
  <c r="U10" i="42"/>
  <c r="P39" i="48"/>
  <c r="K35" i="30"/>
  <c r="R39" i="48" s="1"/>
  <c r="K35" i="29"/>
  <c r="K35" i="31"/>
  <c r="S39" i="48" s="1"/>
  <c r="I50" i="28"/>
  <c r="I50" i="30" s="1"/>
  <c r="G9" i="51" s="1"/>
  <c r="I48" i="31"/>
  <c r="AD9" i="50" s="1"/>
  <c r="J42" i="30"/>
  <c r="AC10" i="49" s="1"/>
  <c r="K36" i="30"/>
  <c r="AC11" i="48" s="1"/>
  <c r="O9" i="51"/>
  <c r="M9" i="42"/>
  <c r="J51" i="23"/>
  <c r="I51" i="25"/>
  <c r="O9" i="42" s="1"/>
  <c r="I51" i="24"/>
  <c r="P38" i="49"/>
  <c r="J41" i="30"/>
  <c r="D10" i="41"/>
  <c r="K44" i="23"/>
  <c r="K44" i="24" s="1"/>
  <c r="L33" i="28"/>
  <c r="L33" i="31" s="1"/>
  <c r="S12" i="48" s="1"/>
  <c r="P11" i="48"/>
  <c r="J48" i="24"/>
  <c r="L48" i="22"/>
  <c r="Y11" i="50"/>
  <c r="U11" i="41"/>
  <c r="K38" i="26"/>
  <c r="G11" i="40" s="1"/>
  <c r="E10" i="40"/>
  <c r="R26" i="39"/>
  <c r="Q26" i="39"/>
  <c r="M26" i="25"/>
  <c r="F13" i="38" s="1"/>
  <c r="AF13" i="45"/>
  <c r="AF14" i="45" s="1"/>
  <c r="AG13" i="45"/>
  <c r="AG14" i="45" s="1"/>
  <c r="D7" i="34" s="1"/>
  <c r="D137" i="59" s="1"/>
  <c r="V8" i="50"/>
  <c r="U8" i="50"/>
  <c r="V25" i="48"/>
  <c r="U25" i="48"/>
  <c r="J38" i="32"/>
  <c r="Q37" i="42"/>
  <c r="R37" i="42"/>
  <c r="L27" i="32"/>
  <c r="T12" i="47" s="1"/>
  <c r="L34" i="32"/>
  <c r="T26" i="48" s="1"/>
  <c r="K46" i="26"/>
  <c r="P25" i="41" s="1"/>
  <c r="N24" i="41"/>
  <c r="Q24" i="50"/>
  <c r="I48" i="32"/>
  <c r="AE9" i="50" s="1"/>
  <c r="AB8" i="50"/>
  <c r="L51" i="22"/>
  <c r="N11" i="51"/>
  <c r="L11" i="42"/>
  <c r="K38" i="24"/>
  <c r="H8" i="42"/>
  <c r="I8" i="42"/>
  <c r="E12" i="38"/>
  <c r="M26" i="26"/>
  <c r="G13" i="38" s="1"/>
  <c r="U37" i="49"/>
  <c r="V37" i="49"/>
  <c r="I45" i="32"/>
  <c r="T9" i="50" s="1"/>
  <c r="Q26" i="46"/>
  <c r="M22" i="32"/>
  <c r="T27" i="46" s="1"/>
  <c r="L35" i="28"/>
  <c r="O40" i="48"/>
  <c r="M40" i="39"/>
  <c r="M35" i="23"/>
  <c r="M35" i="25" s="1"/>
  <c r="O41" i="39" s="1"/>
  <c r="F12" i="46"/>
  <c r="M20" i="32"/>
  <c r="I13" i="46" s="1"/>
  <c r="M26" i="28"/>
  <c r="M26" i="29" s="1"/>
  <c r="F13" i="47" s="1"/>
  <c r="E12" i="47"/>
  <c r="V10" i="48"/>
  <c r="U10" i="48"/>
  <c r="E10" i="41"/>
  <c r="R10" i="40"/>
  <c r="Q10" i="40"/>
  <c r="I48" i="29"/>
  <c r="Q9" i="41"/>
  <c r="R9" i="41"/>
  <c r="L36" i="26"/>
  <c r="Y12" i="39" s="1"/>
  <c r="W11" i="39"/>
  <c r="I14" i="37"/>
  <c r="E3" i="52" s="1"/>
  <c r="J13" i="45"/>
  <c r="J14" i="45" s="1"/>
  <c r="K13" i="45"/>
  <c r="L45" i="22"/>
  <c r="N11" i="50"/>
  <c r="L11" i="41"/>
  <c r="AG13" i="46"/>
  <c r="AG14" i="46" s="1"/>
  <c r="E7" i="34" s="1"/>
  <c r="E137" i="59" s="1"/>
  <c r="AF13" i="46"/>
  <c r="AF14" i="46" s="1"/>
  <c r="K41" i="28"/>
  <c r="O39" i="49"/>
  <c r="M39" i="40"/>
  <c r="L41" i="23"/>
  <c r="L41" i="24" s="1"/>
  <c r="N40" i="40" s="1"/>
  <c r="AA12" i="47"/>
  <c r="L30" i="29"/>
  <c r="O27" i="48"/>
  <c r="M27" i="39"/>
  <c r="AB11" i="47"/>
  <c r="L30" i="32"/>
  <c r="AE12" i="47" s="1"/>
  <c r="J48" i="25"/>
  <c r="X10" i="41" s="1"/>
  <c r="Q27" i="38"/>
  <c r="Q28" i="38" s="1"/>
  <c r="R27" i="38"/>
  <c r="R28" i="38" s="1"/>
  <c r="F5" i="52" s="1"/>
  <c r="I51" i="28"/>
  <c r="I51" i="30" s="1"/>
  <c r="R9" i="51" s="1"/>
  <c r="P8" i="51"/>
  <c r="M26" i="24"/>
  <c r="E13" i="38" s="1"/>
  <c r="I11" i="39"/>
  <c r="H11" i="39"/>
  <c r="V26" i="46"/>
  <c r="U26" i="46"/>
  <c r="M30" i="25"/>
  <c r="X13" i="38" s="1"/>
  <c r="M50" i="22"/>
  <c r="C12" i="51"/>
  <c r="C12" i="42"/>
  <c r="U41" i="45"/>
  <c r="U42" i="45" s="1"/>
  <c r="V41" i="45"/>
  <c r="V42" i="45" s="1"/>
  <c r="D6" i="34" s="1"/>
  <c r="D136" i="59" s="1"/>
  <c r="V40" i="46"/>
  <c r="U40" i="46"/>
  <c r="M22" i="29"/>
  <c r="Q27" i="46" s="1"/>
  <c r="J48" i="26"/>
  <c r="Y10" i="41" s="1"/>
  <c r="M20" i="29"/>
  <c r="F13" i="46" s="1"/>
  <c r="K52" i="22"/>
  <c r="N24" i="51"/>
  <c r="L24" i="42"/>
  <c r="J52" i="24"/>
  <c r="J52" i="25"/>
  <c r="O24" i="42" s="1"/>
  <c r="I50" i="26"/>
  <c r="G9" i="42" s="1"/>
  <c r="E8" i="42"/>
  <c r="J45" i="28"/>
  <c r="J45" i="30" s="1"/>
  <c r="R10" i="50" s="1"/>
  <c r="P9" i="50"/>
  <c r="I45" i="29"/>
  <c r="I45" i="31"/>
  <c r="S9" i="50" s="1"/>
  <c r="I45" i="30"/>
  <c r="R9" i="50" s="1"/>
  <c r="M29" i="26"/>
  <c r="P41" i="38" s="1"/>
  <c r="N40" i="38"/>
  <c r="Q39" i="40"/>
  <c r="L29" i="29"/>
  <c r="Q40" i="47" s="1"/>
  <c r="L29" i="32"/>
  <c r="T40" i="47" s="1"/>
  <c r="Q39" i="47"/>
  <c r="Q23" i="51"/>
  <c r="O25" i="50"/>
  <c r="M25" i="41"/>
  <c r="L46" i="23"/>
  <c r="D9" i="42"/>
  <c r="J50" i="23"/>
  <c r="I50" i="24"/>
  <c r="I50" i="25"/>
  <c r="F9" i="42" s="1"/>
  <c r="Z8" i="42"/>
  <c r="AA8" i="42"/>
  <c r="P36" i="51"/>
  <c r="H53" i="29"/>
  <c r="H53" i="31"/>
  <c r="S36" i="51" s="1"/>
  <c r="H53" i="30"/>
  <c r="R36" i="51" s="1"/>
  <c r="M34" i="28"/>
  <c r="P26" i="48"/>
  <c r="L34" i="31"/>
  <c r="S26" i="48" s="1"/>
  <c r="L34" i="29"/>
  <c r="L34" i="30"/>
  <c r="R26" i="48" s="1"/>
  <c r="D11" i="40"/>
  <c r="L38" i="23"/>
  <c r="O11" i="49"/>
  <c r="M11" i="40"/>
  <c r="L39" i="23"/>
  <c r="K39" i="24"/>
  <c r="K39" i="25"/>
  <c r="O11" i="40" s="1"/>
  <c r="R27" i="39"/>
  <c r="Q27" i="39"/>
  <c r="Y13" i="49"/>
  <c r="U13" i="40"/>
  <c r="K38" i="25"/>
  <c r="F11" i="40" s="1"/>
  <c r="Z10" i="40"/>
  <c r="AA10" i="40"/>
  <c r="Q8" i="42"/>
  <c r="R8" i="42"/>
  <c r="P37" i="50"/>
  <c r="I47" i="31"/>
  <c r="S37" i="50" s="1"/>
  <c r="U11" i="47"/>
  <c r="V11" i="47"/>
  <c r="R23" i="42"/>
  <c r="Q23" i="42"/>
  <c r="V36" i="50"/>
  <c r="U36" i="50"/>
  <c r="J42" i="31"/>
  <c r="AD10" i="49" s="1"/>
  <c r="J42" i="29"/>
  <c r="Z12" i="48"/>
  <c r="V12" i="39"/>
  <c r="M36" i="23"/>
  <c r="L36" i="25"/>
  <c r="X12" i="39" s="1"/>
  <c r="L36" i="24"/>
  <c r="H14" i="37"/>
  <c r="M27" i="28"/>
  <c r="P13" i="47" s="1"/>
  <c r="P12" i="47"/>
  <c r="U38" i="48"/>
  <c r="V38" i="48"/>
  <c r="Q25" i="40"/>
  <c r="R25" i="40"/>
  <c r="L32" i="26"/>
  <c r="G12" i="39" s="1"/>
  <c r="E11" i="39"/>
  <c r="J45" i="25"/>
  <c r="O10" i="41" s="1"/>
  <c r="Q38" i="48"/>
  <c r="K35" i="32"/>
  <c r="T39" i="48" s="1"/>
  <c r="Q24" i="41"/>
  <c r="R24" i="41"/>
  <c r="J52" i="28"/>
  <c r="J52" i="29" s="1"/>
  <c r="P23" i="51"/>
  <c r="Q26" i="47"/>
  <c r="M28" i="32"/>
  <c r="T27" i="47" s="1"/>
  <c r="Z9" i="51"/>
  <c r="V9" i="42"/>
  <c r="J54" i="23"/>
  <c r="I54" i="28"/>
  <c r="AG8" i="50"/>
  <c r="AF8" i="50"/>
  <c r="Q40" i="46"/>
  <c r="M23" i="32"/>
  <c r="T41" i="46" s="1"/>
  <c r="D13" i="47"/>
  <c r="D13" i="38"/>
  <c r="AA12" i="38"/>
  <c r="Z12" i="38"/>
  <c r="Q12" i="38"/>
  <c r="R12" i="38"/>
  <c r="I44" i="32"/>
  <c r="J44" i="28"/>
  <c r="L32" i="28"/>
  <c r="L32" i="31" s="1"/>
  <c r="H12" i="48" s="1"/>
  <c r="L30" i="30"/>
  <c r="AC12" i="47" s="1"/>
  <c r="K38" i="28"/>
  <c r="K38" i="31" s="1"/>
  <c r="H11" i="49" s="1"/>
  <c r="Q40" i="39"/>
  <c r="R40" i="39"/>
  <c r="L26" i="32"/>
  <c r="I47" i="30"/>
  <c r="J39" i="32"/>
  <c r="T10" i="49" s="1"/>
  <c r="L26" i="29"/>
  <c r="J38" i="31"/>
  <c r="H10" i="49" s="1"/>
  <c r="N41" i="48"/>
  <c r="L41" i="39"/>
  <c r="N39" i="50"/>
  <c r="L39" i="41"/>
  <c r="O10" i="50"/>
  <c r="M10" i="41"/>
  <c r="K45" i="23"/>
  <c r="M40" i="22"/>
  <c r="N26" i="49"/>
  <c r="L26" i="40"/>
  <c r="L40" i="25"/>
  <c r="O26" i="40" s="1"/>
  <c r="L40" i="24"/>
  <c r="L29" i="31"/>
  <c r="S40" i="47" s="1"/>
  <c r="E9" i="41"/>
  <c r="J44" i="26"/>
  <c r="G10" i="41" s="1"/>
  <c r="N23" i="42"/>
  <c r="J52" i="26"/>
  <c r="P24" i="42" s="1"/>
  <c r="Q11" i="39"/>
  <c r="R11" i="39"/>
  <c r="L40" i="28"/>
  <c r="L40" i="29" s="1"/>
  <c r="P25" i="49"/>
  <c r="N25" i="40"/>
  <c r="L40" i="26"/>
  <c r="P26" i="40" s="1"/>
  <c r="O13" i="47"/>
  <c r="M13" i="38"/>
  <c r="M27" i="24"/>
  <c r="N13" i="38" s="1"/>
  <c r="M27" i="25"/>
  <c r="O13" i="38" s="1"/>
  <c r="M27" i="26"/>
  <c r="P13" i="38" s="1"/>
  <c r="N12" i="38"/>
  <c r="P13" i="46"/>
  <c r="M21" i="29"/>
  <c r="Q13" i="46" s="1"/>
  <c r="M21" i="31"/>
  <c r="S13" i="46" s="1"/>
  <c r="M21" i="30"/>
  <c r="R13" i="46" s="1"/>
  <c r="I53" i="28"/>
  <c r="O37" i="51"/>
  <c r="M37" i="42"/>
  <c r="J53" i="23"/>
  <c r="J53" i="25" s="1"/>
  <c r="O38" i="42" s="1"/>
  <c r="I12" i="38"/>
  <c r="H12" i="38"/>
  <c r="N13" i="49"/>
  <c r="L13" i="40"/>
  <c r="L33" i="26"/>
  <c r="P12" i="39" s="1"/>
  <c r="N11" i="39"/>
  <c r="O12" i="48"/>
  <c r="M12" i="39"/>
  <c r="M33" i="23"/>
  <c r="L33" i="25"/>
  <c r="O12" i="39" s="1"/>
  <c r="L33" i="24"/>
  <c r="Q35" i="51"/>
  <c r="H53" i="32"/>
  <c r="T36" i="51" s="1"/>
  <c r="W12" i="38"/>
  <c r="M30" i="26"/>
  <c r="Y13" i="38" s="1"/>
  <c r="K39" i="28"/>
  <c r="K39" i="31" s="1"/>
  <c r="S11" i="49" s="1"/>
  <c r="P10" i="49"/>
  <c r="J47" i="28"/>
  <c r="O38" i="50"/>
  <c r="M38" i="41"/>
  <c r="K47" i="23"/>
  <c r="L44" i="22"/>
  <c r="C11" i="41"/>
  <c r="W10" i="40"/>
  <c r="K42" i="26"/>
  <c r="Y11" i="40" s="1"/>
  <c r="Z11" i="49"/>
  <c r="V11" i="40"/>
  <c r="K42" i="28"/>
  <c r="AA11" i="49" s="1"/>
  <c r="L42" i="23"/>
  <c r="K42" i="24"/>
  <c r="K42" i="25"/>
  <c r="X11" i="40" s="1"/>
  <c r="K46" i="28"/>
  <c r="P24" i="50"/>
  <c r="L36" i="28"/>
  <c r="AA12" i="48" s="1"/>
  <c r="AA11" i="48"/>
  <c r="Z11" i="39"/>
  <c r="AA11" i="39"/>
  <c r="N8" i="42"/>
  <c r="I51" i="26"/>
  <c r="P9" i="42" s="1"/>
  <c r="D12" i="48"/>
  <c r="D12" i="39"/>
  <c r="M32" i="23"/>
  <c r="L32" i="25"/>
  <c r="F12" i="39" s="1"/>
  <c r="L32" i="24"/>
  <c r="J45" i="24"/>
  <c r="R42" i="37"/>
  <c r="E6" i="52" s="1"/>
  <c r="E8" i="52" s="1"/>
  <c r="AA8" i="51"/>
  <c r="H54" i="31"/>
  <c r="AD8" i="51" s="1"/>
  <c r="H54" i="29"/>
  <c r="H54" i="30"/>
  <c r="AC8" i="51" s="1"/>
  <c r="AG8" i="51"/>
  <c r="AF8" i="51"/>
  <c r="V27" i="45"/>
  <c r="V28" i="45" s="1"/>
  <c r="D5" i="34" s="1"/>
  <c r="D135" i="59" s="1"/>
  <c r="U27" i="45"/>
  <c r="U28" i="45" s="1"/>
  <c r="AG7" i="51"/>
  <c r="AF7" i="51"/>
  <c r="K32" i="32"/>
  <c r="V12" i="46"/>
  <c r="U12" i="46"/>
  <c r="Q37" i="49"/>
  <c r="J41" i="32"/>
  <c r="T38" i="49" s="1"/>
  <c r="Z13" i="47"/>
  <c r="V13" i="38"/>
  <c r="M30" i="28"/>
  <c r="M30" i="31" s="1"/>
  <c r="AD13" i="47" s="1"/>
  <c r="Q36" i="50"/>
  <c r="I47" i="32"/>
  <c r="T37" i="50" s="1"/>
  <c r="M28" i="29"/>
  <c r="Q27" i="47" s="1"/>
  <c r="I52" i="32"/>
  <c r="T23" i="51" s="1"/>
  <c r="M29" i="24"/>
  <c r="N41" i="38" s="1"/>
  <c r="M29" i="25"/>
  <c r="O41" i="38" s="1"/>
  <c r="L47" i="22"/>
  <c r="K53" i="22"/>
  <c r="M41" i="22"/>
  <c r="J11" i="47" l="1"/>
  <c r="K11" i="47"/>
  <c r="J11" i="48"/>
  <c r="K11" i="48"/>
  <c r="J11" i="49"/>
  <c r="K11" i="49"/>
  <c r="J11" i="50"/>
  <c r="K11" i="50"/>
  <c r="J11" i="51"/>
  <c r="K11" i="51"/>
  <c r="K14" i="45"/>
  <c r="D3" i="34" s="1"/>
  <c r="D133" i="59" s="1"/>
  <c r="U11" i="48"/>
  <c r="U25" i="49"/>
  <c r="U8" i="51"/>
  <c r="Z9" i="42"/>
  <c r="N38" i="41"/>
  <c r="Q10" i="41"/>
  <c r="J53" i="26"/>
  <c r="P38" i="42" s="1"/>
  <c r="Q38" i="42" s="1"/>
  <c r="M29" i="31"/>
  <c r="S41" i="47" s="1"/>
  <c r="W9" i="42"/>
  <c r="AF11" i="48"/>
  <c r="J52" i="32"/>
  <c r="T24" i="51" s="1"/>
  <c r="U24" i="51" s="1"/>
  <c r="J44" i="32"/>
  <c r="M29" i="29"/>
  <c r="Q41" i="47" s="1"/>
  <c r="I50" i="29"/>
  <c r="K46" i="32"/>
  <c r="T25" i="50" s="1"/>
  <c r="U25" i="50" s="1"/>
  <c r="M29" i="30"/>
  <c r="R41" i="47" s="1"/>
  <c r="I51" i="32"/>
  <c r="T9" i="51" s="1"/>
  <c r="U9" i="51" s="1"/>
  <c r="I50" i="31"/>
  <c r="H9" i="51" s="1"/>
  <c r="K44" i="25"/>
  <c r="F11" i="41" s="1"/>
  <c r="K44" i="26"/>
  <c r="G11" i="41" s="1"/>
  <c r="I11" i="41" s="1"/>
  <c r="L33" i="32"/>
  <c r="T12" i="48" s="1"/>
  <c r="V12" i="48" s="1"/>
  <c r="M27" i="32"/>
  <c r="T13" i="47" s="1"/>
  <c r="U13" i="47" s="1"/>
  <c r="L33" i="30"/>
  <c r="R12" i="48" s="1"/>
  <c r="I50" i="32"/>
  <c r="L32" i="29"/>
  <c r="M35" i="24"/>
  <c r="N41" i="39" s="1"/>
  <c r="L32" i="30"/>
  <c r="G12" i="48" s="1"/>
  <c r="L41" i="26"/>
  <c r="P40" i="40" s="1"/>
  <c r="R40" i="40" s="1"/>
  <c r="L33" i="29"/>
  <c r="Q12" i="48" s="1"/>
  <c r="K39" i="32"/>
  <c r="T11" i="49" s="1"/>
  <c r="U11" i="49" s="1"/>
  <c r="J48" i="30"/>
  <c r="AC10" i="50" s="1"/>
  <c r="M35" i="26"/>
  <c r="P41" i="39" s="1"/>
  <c r="Q41" i="39" s="1"/>
  <c r="Q42" i="39" s="1"/>
  <c r="L36" i="32"/>
  <c r="AE12" i="48" s="1"/>
  <c r="AG12" i="48" s="1"/>
  <c r="J48" i="31"/>
  <c r="AD10" i="50" s="1"/>
  <c r="Q28" i="39"/>
  <c r="V24" i="50"/>
  <c r="M27" i="31"/>
  <c r="S13" i="47" s="1"/>
  <c r="L41" i="25"/>
  <c r="O40" i="40" s="1"/>
  <c r="E119" i="59"/>
  <c r="R38" i="41"/>
  <c r="AG10" i="49"/>
  <c r="R28" i="39"/>
  <c r="G5" i="52" s="1"/>
  <c r="L32" i="32"/>
  <c r="K38" i="30"/>
  <c r="G11" i="49" s="1"/>
  <c r="M27" i="29"/>
  <c r="Q13" i="47" s="1"/>
  <c r="M27" i="30"/>
  <c r="R13" i="47" s="1"/>
  <c r="M29" i="32"/>
  <c r="T41" i="47" s="1"/>
  <c r="V41" i="47" s="1"/>
  <c r="E117" i="59"/>
  <c r="M26" i="31"/>
  <c r="H13" i="47" s="1"/>
  <c r="F119" i="59"/>
  <c r="J53" i="24"/>
  <c r="N38" i="42" s="1"/>
  <c r="E120" i="59"/>
  <c r="Q26" i="49"/>
  <c r="L46" i="28"/>
  <c r="L46" i="29" s="1"/>
  <c r="P25" i="50"/>
  <c r="K42" i="31"/>
  <c r="AD11" i="49" s="1"/>
  <c r="K47" i="28"/>
  <c r="K47" i="29" s="1"/>
  <c r="Q39" i="50" s="1"/>
  <c r="O39" i="50"/>
  <c r="M39" i="41"/>
  <c r="L47" i="23"/>
  <c r="L47" i="25" s="1"/>
  <c r="O40" i="41" s="1"/>
  <c r="Q13" i="38"/>
  <c r="Q14" i="38" s="1"/>
  <c r="R13" i="38"/>
  <c r="R14" i="38" s="1"/>
  <c r="F4" i="52" s="1"/>
  <c r="L40" i="31"/>
  <c r="S26" i="49" s="1"/>
  <c r="J54" i="28"/>
  <c r="J54" i="30" s="1"/>
  <c r="AC10" i="51" s="1"/>
  <c r="AA9" i="51"/>
  <c r="I54" i="31"/>
  <c r="AD9" i="51" s="1"/>
  <c r="I54" i="29"/>
  <c r="I54" i="30"/>
  <c r="AC9" i="51" s="1"/>
  <c r="I12" i="39"/>
  <c r="H12" i="39"/>
  <c r="L36" i="29"/>
  <c r="E11" i="40"/>
  <c r="L38" i="26"/>
  <c r="G12" i="40" s="1"/>
  <c r="M51" i="22"/>
  <c r="N12" i="51"/>
  <c r="L12" i="42"/>
  <c r="Q25" i="41"/>
  <c r="R25" i="41"/>
  <c r="C13" i="49"/>
  <c r="C13" i="40"/>
  <c r="Z11" i="50"/>
  <c r="V11" i="41"/>
  <c r="L48" i="23"/>
  <c r="K47" i="24"/>
  <c r="M30" i="30"/>
  <c r="AC13" i="47" s="1"/>
  <c r="AA13" i="47"/>
  <c r="AB10" i="50"/>
  <c r="N10" i="41"/>
  <c r="K45" i="26"/>
  <c r="P11" i="41" s="1"/>
  <c r="K42" i="29"/>
  <c r="Z13" i="38"/>
  <c r="Z14" i="38" s="1"/>
  <c r="AA13" i="38"/>
  <c r="AA14" i="38" s="1"/>
  <c r="F7" i="52" s="1"/>
  <c r="O13" i="48"/>
  <c r="M13" i="39"/>
  <c r="M33" i="24"/>
  <c r="N13" i="39" s="1"/>
  <c r="M33" i="25"/>
  <c r="O13" i="39" s="1"/>
  <c r="Q12" i="39"/>
  <c r="R12" i="39"/>
  <c r="J53" i="28"/>
  <c r="O38" i="51"/>
  <c r="M38" i="42"/>
  <c r="K53" i="23"/>
  <c r="K53" i="25" s="1"/>
  <c r="O39" i="42" s="1"/>
  <c r="N27" i="49"/>
  <c r="L27" i="40"/>
  <c r="M40" i="25"/>
  <c r="O27" i="40" s="1"/>
  <c r="M40" i="24"/>
  <c r="N27" i="40" s="1"/>
  <c r="F12" i="47"/>
  <c r="M26" i="32"/>
  <c r="K44" i="28"/>
  <c r="J44" i="30"/>
  <c r="G10" i="50" s="1"/>
  <c r="J44" i="31"/>
  <c r="H10" i="50" s="1"/>
  <c r="J44" i="29"/>
  <c r="Z10" i="51"/>
  <c r="V10" i="42"/>
  <c r="K54" i="23"/>
  <c r="K54" i="24" s="1"/>
  <c r="V27" i="47"/>
  <c r="V28" i="47" s="1"/>
  <c r="F5" i="34" s="1"/>
  <c r="F135" i="59" s="1"/>
  <c r="U27" i="47"/>
  <c r="U28" i="47" s="1"/>
  <c r="K52" i="28"/>
  <c r="K52" i="30" s="1"/>
  <c r="R25" i="51" s="1"/>
  <c r="P24" i="51"/>
  <c r="V39" i="48"/>
  <c r="U39" i="48"/>
  <c r="AB10" i="49"/>
  <c r="K42" i="32"/>
  <c r="AE11" i="49" s="1"/>
  <c r="N11" i="40"/>
  <c r="L39" i="26"/>
  <c r="P12" i="40" s="1"/>
  <c r="D10" i="42"/>
  <c r="K50" i="23"/>
  <c r="J50" i="24"/>
  <c r="J50" i="25"/>
  <c r="F10" i="42" s="1"/>
  <c r="V40" i="47"/>
  <c r="U40" i="47"/>
  <c r="K45" i="28"/>
  <c r="K45" i="31" s="1"/>
  <c r="S11" i="50" s="1"/>
  <c r="P10" i="50"/>
  <c r="N24" i="42"/>
  <c r="K52" i="26"/>
  <c r="P25" i="42" s="1"/>
  <c r="Z10" i="41"/>
  <c r="AA10" i="41"/>
  <c r="J51" i="28"/>
  <c r="J51" i="31" s="1"/>
  <c r="S10" i="51" s="1"/>
  <c r="P9" i="51"/>
  <c r="L41" i="28"/>
  <c r="O40" i="49"/>
  <c r="M40" i="40"/>
  <c r="M41" i="23"/>
  <c r="M45" i="22"/>
  <c r="N12" i="50"/>
  <c r="L12" i="41"/>
  <c r="J48" i="32"/>
  <c r="AE10" i="50" s="1"/>
  <c r="AB9" i="50"/>
  <c r="K13" i="46"/>
  <c r="J13" i="46"/>
  <c r="J14" i="46" s="1"/>
  <c r="P40" i="48"/>
  <c r="L35" i="30"/>
  <c r="R40" i="48" s="1"/>
  <c r="L35" i="31"/>
  <c r="S40" i="48" s="1"/>
  <c r="L35" i="29"/>
  <c r="V25" i="50"/>
  <c r="K48" i="24"/>
  <c r="M48" i="22"/>
  <c r="Y12" i="50"/>
  <c r="U12" i="41"/>
  <c r="Q39" i="48"/>
  <c r="L35" i="32"/>
  <c r="T40" i="48" s="1"/>
  <c r="L38" i="24"/>
  <c r="K46" i="31"/>
  <c r="S25" i="50" s="1"/>
  <c r="V13" i="46"/>
  <c r="V14" i="46" s="1"/>
  <c r="E4" i="34" s="1"/>
  <c r="E134" i="59" s="1"/>
  <c r="U13" i="46"/>
  <c r="U14" i="46" s="1"/>
  <c r="L40" i="32"/>
  <c r="T26" i="49" s="1"/>
  <c r="V38" i="49"/>
  <c r="U38" i="49"/>
  <c r="F12" i="48"/>
  <c r="N12" i="39"/>
  <c r="M33" i="26"/>
  <c r="P13" i="39" s="1"/>
  <c r="P37" i="51"/>
  <c r="I53" i="30"/>
  <c r="R37" i="51" s="1"/>
  <c r="I53" i="31"/>
  <c r="S37" i="51" s="1"/>
  <c r="I53" i="29"/>
  <c r="M40" i="28"/>
  <c r="P27" i="49" s="1"/>
  <c r="P26" i="49"/>
  <c r="R24" i="42"/>
  <c r="Q24" i="42"/>
  <c r="V10" i="49"/>
  <c r="U10" i="49"/>
  <c r="Q26" i="48"/>
  <c r="M34" i="32"/>
  <c r="T27" i="48" s="1"/>
  <c r="AG12" i="47"/>
  <c r="AF12" i="47"/>
  <c r="P39" i="49"/>
  <c r="K41" i="29"/>
  <c r="K41" i="31"/>
  <c r="S39" i="49" s="1"/>
  <c r="K41" i="30"/>
  <c r="R39" i="49" s="1"/>
  <c r="AF9" i="50"/>
  <c r="AG9" i="50"/>
  <c r="N41" i="49"/>
  <c r="L41" i="40"/>
  <c r="K47" i="25"/>
  <c r="O39" i="41" s="1"/>
  <c r="N40" i="50"/>
  <c r="L40" i="41"/>
  <c r="V23" i="51"/>
  <c r="U23" i="51"/>
  <c r="E12" i="39"/>
  <c r="M32" i="26"/>
  <c r="G13" i="39" s="1"/>
  <c r="K42" i="30"/>
  <c r="AC11" i="49" s="1"/>
  <c r="L39" i="28"/>
  <c r="L39" i="30" s="1"/>
  <c r="R12" i="49" s="1"/>
  <c r="P11" i="49"/>
  <c r="Q26" i="40"/>
  <c r="R26" i="40"/>
  <c r="N26" i="40"/>
  <c r="M40" i="26"/>
  <c r="P27" i="40" s="1"/>
  <c r="L40" i="30"/>
  <c r="R26" i="49" s="1"/>
  <c r="O11" i="50"/>
  <c r="M11" i="41"/>
  <c r="L45" i="23"/>
  <c r="R37" i="50"/>
  <c r="J47" i="32"/>
  <c r="T38" i="50" s="1"/>
  <c r="M36" i="26"/>
  <c r="Y13" i="39" s="1"/>
  <c r="W12" i="39"/>
  <c r="L36" i="31"/>
  <c r="AD12" i="48" s="1"/>
  <c r="K39" i="29"/>
  <c r="D12" i="49"/>
  <c r="D12" i="40"/>
  <c r="M38" i="23"/>
  <c r="M38" i="25" s="1"/>
  <c r="F13" i="40" s="1"/>
  <c r="Q36" i="51"/>
  <c r="I53" i="32"/>
  <c r="T37" i="51" s="1"/>
  <c r="J50" i="26"/>
  <c r="G10" i="42" s="1"/>
  <c r="E9" i="42"/>
  <c r="K38" i="32"/>
  <c r="O26" i="50"/>
  <c r="M26" i="41"/>
  <c r="M46" i="23"/>
  <c r="Q41" i="38"/>
  <c r="Q42" i="38" s="1"/>
  <c r="R41" i="38"/>
  <c r="R42" i="38" s="1"/>
  <c r="F6" i="52" s="1"/>
  <c r="J52" i="31"/>
  <c r="S24" i="51" s="1"/>
  <c r="K45" i="25"/>
  <c r="O11" i="41" s="1"/>
  <c r="J45" i="31"/>
  <c r="S10" i="50" s="1"/>
  <c r="E13" i="47"/>
  <c r="M26" i="30"/>
  <c r="G13" i="47" s="1"/>
  <c r="M35" i="28"/>
  <c r="O41" i="48"/>
  <c r="M41" i="39"/>
  <c r="U27" i="46"/>
  <c r="U28" i="46" s="1"/>
  <c r="V27" i="46"/>
  <c r="V28" i="46" s="1"/>
  <c r="E5" i="34" s="1"/>
  <c r="E135" i="59" s="1"/>
  <c r="U12" i="47"/>
  <c r="V12" i="47"/>
  <c r="K48" i="25"/>
  <c r="X11" i="41" s="1"/>
  <c r="K48" i="26"/>
  <c r="Y11" i="41" s="1"/>
  <c r="W10" i="41"/>
  <c r="M33" i="28"/>
  <c r="P13" i="48" s="1"/>
  <c r="P12" i="48"/>
  <c r="J51" i="26"/>
  <c r="P10" i="42" s="1"/>
  <c r="N9" i="42"/>
  <c r="I51" i="29"/>
  <c r="J54" i="25"/>
  <c r="X10" i="42" s="1"/>
  <c r="L54" i="22"/>
  <c r="Y11" i="51"/>
  <c r="U11" i="42"/>
  <c r="L38" i="25"/>
  <c r="F12" i="40" s="1"/>
  <c r="Q11" i="40"/>
  <c r="R11" i="40"/>
  <c r="K46" i="30"/>
  <c r="R25" i="50" s="1"/>
  <c r="M46" i="22"/>
  <c r="N26" i="50"/>
  <c r="L26" i="41"/>
  <c r="L46" i="25"/>
  <c r="O26" i="41" s="1"/>
  <c r="L46" i="24"/>
  <c r="R39" i="41"/>
  <c r="Q39" i="41"/>
  <c r="J45" i="29"/>
  <c r="E11" i="41"/>
  <c r="H10" i="41"/>
  <c r="I10" i="41"/>
  <c r="H9" i="42"/>
  <c r="I9" i="42"/>
  <c r="Q24" i="51"/>
  <c r="Z10" i="42"/>
  <c r="AA10" i="42"/>
  <c r="N39" i="51"/>
  <c r="L39" i="42"/>
  <c r="U37" i="50"/>
  <c r="V37" i="50"/>
  <c r="AB8" i="51"/>
  <c r="I54" i="32"/>
  <c r="AE9" i="51" s="1"/>
  <c r="D13" i="48"/>
  <c r="D13" i="39"/>
  <c r="M32" i="24"/>
  <c r="E13" i="39" s="1"/>
  <c r="M32" i="25"/>
  <c r="F13" i="39" s="1"/>
  <c r="Q9" i="42"/>
  <c r="R9" i="42"/>
  <c r="W11" i="40"/>
  <c r="L42" i="26"/>
  <c r="Y12" i="40" s="1"/>
  <c r="L42" i="28"/>
  <c r="AA12" i="49" s="1"/>
  <c r="Z12" i="49"/>
  <c r="V12" i="40"/>
  <c r="M42" i="23"/>
  <c r="L42" i="25"/>
  <c r="X12" i="40" s="1"/>
  <c r="L42" i="24"/>
  <c r="AA11" i="40"/>
  <c r="Z11" i="40"/>
  <c r="M44" i="22"/>
  <c r="C12" i="50"/>
  <c r="C12" i="41"/>
  <c r="P38" i="50"/>
  <c r="J47" i="30"/>
  <c r="R38" i="50" s="1"/>
  <c r="J47" i="29"/>
  <c r="J47" i="31"/>
  <c r="S38" i="50" s="1"/>
  <c r="V36" i="51"/>
  <c r="U36" i="51"/>
  <c r="I12" i="50"/>
  <c r="I12" i="51"/>
  <c r="I12" i="49"/>
  <c r="I12" i="48"/>
  <c r="I12" i="47"/>
  <c r="L38" i="28"/>
  <c r="M32" i="28"/>
  <c r="E13" i="48" s="1"/>
  <c r="E12" i="48"/>
  <c r="V41" i="46"/>
  <c r="V42" i="46" s="1"/>
  <c r="E6" i="34" s="1"/>
  <c r="E136" i="59" s="1"/>
  <c r="U41" i="46"/>
  <c r="U42" i="46" s="1"/>
  <c r="D8" i="34"/>
  <c r="L36" i="30"/>
  <c r="AC12" i="48" s="1"/>
  <c r="M36" i="28"/>
  <c r="AA13" i="48" s="1"/>
  <c r="Z13" i="48"/>
  <c r="V13" i="39"/>
  <c r="M36" i="24"/>
  <c r="W13" i="39" s="1"/>
  <c r="M36" i="25"/>
  <c r="X13" i="39" s="1"/>
  <c r="K39" i="30"/>
  <c r="R11" i="49" s="1"/>
  <c r="O12" i="49"/>
  <c r="M12" i="40"/>
  <c r="M39" i="23"/>
  <c r="L39" i="24"/>
  <c r="L39" i="25"/>
  <c r="O12" i="40" s="1"/>
  <c r="P27" i="48"/>
  <c r="M34" i="29"/>
  <c r="Q27" i="48" s="1"/>
  <c r="M34" i="30"/>
  <c r="R27" i="48" s="1"/>
  <c r="M34" i="31"/>
  <c r="S27" i="48" s="1"/>
  <c r="Q9" i="50"/>
  <c r="J45" i="32"/>
  <c r="T10" i="50" s="1"/>
  <c r="J52" i="30"/>
  <c r="R24" i="51" s="1"/>
  <c r="L52" i="22"/>
  <c r="N25" i="51"/>
  <c r="L25" i="42"/>
  <c r="K52" i="24"/>
  <c r="K52" i="25"/>
  <c r="O25" i="42" s="1"/>
  <c r="C13" i="51"/>
  <c r="C13" i="42"/>
  <c r="AB12" i="47"/>
  <c r="M30" i="32"/>
  <c r="AE13" i="47" s="1"/>
  <c r="K45" i="24"/>
  <c r="Z12" i="39"/>
  <c r="AA12" i="39"/>
  <c r="U9" i="50"/>
  <c r="V9" i="50"/>
  <c r="H13" i="38"/>
  <c r="H14" i="38" s="1"/>
  <c r="I13" i="38"/>
  <c r="I14" i="38" s="1"/>
  <c r="F3" i="52" s="1"/>
  <c r="V26" i="48"/>
  <c r="U26" i="48"/>
  <c r="I11" i="40"/>
  <c r="H11" i="40"/>
  <c r="D11" i="41"/>
  <c r="L44" i="23"/>
  <c r="R38" i="49"/>
  <c r="K41" i="32"/>
  <c r="T39" i="49" s="1"/>
  <c r="I51" i="31"/>
  <c r="S9" i="51" s="1"/>
  <c r="O10" i="51"/>
  <c r="M10" i="42"/>
  <c r="K51" i="23"/>
  <c r="J51" i="24"/>
  <c r="J51" i="29"/>
  <c r="J51" i="25"/>
  <c r="O10" i="42" s="1"/>
  <c r="J50" i="28"/>
  <c r="J50" i="31" s="1"/>
  <c r="H10" i="51" s="1"/>
  <c r="J54" i="24"/>
  <c r="K48" i="28"/>
  <c r="K48" i="29" s="1"/>
  <c r="AA10" i="50"/>
  <c r="N25" i="41"/>
  <c r="L46" i="26"/>
  <c r="P26" i="41" s="1"/>
  <c r="K46" i="29"/>
  <c r="O27" i="49"/>
  <c r="M27" i="40"/>
  <c r="O25" i="51"/>
  <c r="M25" i="42"/>
  <c r="L52" i="23"/>
  <c r="M30" i="29"/>
  <c r="AB13" i="47" s="1"/>
  <c r="K38" i="29"/>
  <c r="M47" i="22"/>
  <c r="L53" i="22"/>
  <c r="K14" i="46" l="1"/>
  <c r="E3" i="34" s="1"/>
  <c r="AF12" i="48"/>
  <c r="R38" i="42"/>
  <c r="U41" i="47"/>
  <c r="Q40" i="40"/>
  <c r="M41" i="26"/>
  <c r="P41" i="40" s="1"/>
  <c r="V9" i="51"/>
  <c r="M32" i="32"/>
  <c r="V13" i="47"/>
  <c r="V14" i="47" s="1"/>
  <c r="F4" i="34" s="1"/>
  <c r="F134" i="59" s="1"/>
  <c r="V24" i="51"/>
  <c r="L44" i="26"/>
  <c r="G12" i="41" s="1"/>
  <c r="I12" i="41" s="1"/>
  <c r="R41" i="39"/>
  <c r="R42" i="39" s="1"/>
  <c r="G6" i="52" s="1"/>
  <c r="G120" i="59" s="1"/>
  <c r="K52" i="31"/>
  <c r="S25" i="51" s="1"/>
  <c r="H11" i="41"/>
  <c r="J50" i="32"/>
  <c r="J54" i="31"/>
  <c r="AD10" i="51" s="1"/>
  <c r="U12" i="48"/>
  <c r="K48" i="32"/>
  <c r="AE11" i="50" s="1"/>
  <c r="M33" i="32"/>
  <c r="T13" i="48" s="1"/>
  <c r="U13" i="48" s="1"/>
  <c r="V11" i="49"/>
  <c r="K45" i="29"/>
  <c r="Q11" i="50" s="1"/>
  <c r="K54" i="25"/>
  <c r="X11" i="42" s="1"/>
  <c r="K52" i="29"/>
  <c r="Q25" i="51" s="1"/>
  <c r="J51" i="30"/>
  <c r="R10" i="51" s="1"/>
  <c r="G119" i="59"/>
  <c r="K53" i="24"/>
  <c r="N39" i="42" s="1"/>
  <c r="K53" i="26"/>
  <c r="P39" i="42" s="1"/>
  <c r="R39" i="42" s="1"/>
  <c r="L47" i="24"/>
  <c r="N40" i="41" s="1"/>
  <c r="L39" i="31"/>
  <c r="S12" i="49" s="1"/>
  <c r="M32" i="29"/>
  <c r="F13" i="48" s="1"/>
  <c r="K47" i="31"/>
  <c r="S39" i="50" s="1"/>
  <c r="L39" i="29"/>
  <c r="Q12" i="49" s="1"/>
  <c r="M36" i="30"/>
  <c r="AC13" i="48" s="1"/>
  <c r="U14" i="47"/>
  <c r="M36" i="31"/>
  <c r="AD13" i="48" s="1"/>
  <c r="L42" i="31"/>
  <c r="AD12" i="49" s="1"/>
  <c r="F121" i="59"/>
  <c r="L42" i="29"/>
  <c r="AB12" i="49" s="1"/>
  <c r="F120" i="59"/>
  <c r="M36" i="29"/>
  <c r="AB13" i="48" s="1"/>
  <c r="F8" i="52"/>
  <c r="F117" i="59"/>
  <c r="J50" i="30"/>
  <c r="G10" i="51" s="1"/>
  <c r="F118" i="59"/>
  <c r="N10" i="42"/>
  <c r="K51" i="26"/>
  <c r="P11" i="42" s="1"/>
  <c r="D12" i="50"/>
  <c r="D12" i="41"/>
  <c r="M44" i="23"/>
  <c r="M38" i="28"/>
  <c r="E13" i="49" s="1"/>
  <c r="E12" i="49"/>
  <c r="L38" i="29"/>
  <c r="L44" i="24"/>
  <c r="N27" i="50"/>
  <c r="L27" i="41"/>
  <c r="M46" i="25"/>
  <c r="O27" i="41" s="1"/>
  <c r="M46" i="24"/>
  <c r="N27" i="41" s="1"/>
  <c r="AB11" i="50"/>
  <c r="Q11" i="49"/>
  <c r="L39" i="32"/>
  <c r="T12" i="49" s="1"/>
  <c r="U38" i="50"/>
  <c r="V38" i="50"/>
  <c r="R27" i="40"/>
  <c r="R28" i="40" s="1"/>
  <c r="H5" i="52" s="1"/>
  <c r="Q27" i="40"/>
  <c r="Q28" i="40" s="1"/>
  <c r="J53" i="32"/>
  <c r="T38" i="51" s="1"/>
  <c r="Q37" i="51"/>
  <c r="AG10" i="50"/>
  <c r="AF10" i="50"/>
  <c r="L45" i="24"/>
  <c r="Q12" i="40"/>
  <c r="R12" i="40"/>
  <c r="K44" i="32"/>
  <c r="M46" i="28"/>
  <c r="P27" i="50" s="1"/>
  <c r="P26" i="50"/>
  <c r="M41" i="24"/>
  <c r="N41" i="40" s="1"/>
  <c r="Q41" i="40"/>
  <c r="Q42" i="40" s="1"/>
  <c r="R41" i="40"/>
  <c r="R42" i="40" s="1"/>
  <c r="H6" i="52" s="1"/>
  <c r="Q25" i="50"/>
  <c r="L46" i="32"/>
  <c r="T26" i="50" s="1"/>
  <c r="AA11" i="50"/>
  <c r="K48" i="31"/>
  <c r="AD11" i="50" s="1"/>
  <c r="L38" i="31"/>
  <c r="H12" i="49" s="1"/>
  <c r="O11" i="51"/>
  <c r="M11" i="42"/>
  <c r="L51" i="23"/>
  <c r="K51" i="25"/>
  <c r="O11" i="42" s="1"/>
  <c r="K51" i="24"/>
  <c r="K48" i="30"/>
  <c r="AC11" i="50" s="1"/>
  <c r="O13" i="49"/>
  <c r="M13" i="40"/>
  <c r="M39" i="24"/>
  <c r="N13" i="40" s="1"/>
  <c r="M39" i="25"/>
  <c r="O13" i="40" s="1"/>
  <c r="K12" i="47"/>
  <c r="J12" i="47"/>
  <c r="K12" i="50"/>
  <c r="J12" i="50"/>
  <c r="L42" i="30"/>
  <c r="AC12" i="49" s="1"/>
  <c r="M32" i="30"/>
  <c r="G13" i="48" s="1"/>
  <c r="N26" i="41"/>
  <c r="M46" i="26"/>
  <c r="P27" i="41" s="1"/>
  <c r="L46" i="30"/>
  <c r="R26" i="50" s="1"/>
  <c r="Q10" i="42"/>
  <c r="R10" i="42"/>
  <c r="P41" i="48"/>
  <c r="M35" i="31"/>
  <c r="S41" i="48" s="1"/>
  <c r="M35" i="29"/>
  <c r="Q41" i="48" s="1"/>
  <c r="M35" i="30"/>
  <c r="R41" i="48" s="1"/>
  <c r="O27" i="50"/>
  <c r="M27" i="41"/>
  <c r="V37" i="51"/>
  <c r="U37" i="51"/>
  <c r="V27" i="48"/>
  <c r="V28" i="48" s="1"/>
  <c r="G5" i="34" s="1"/>
  <c r="G135" i="59" s="1"/>
  <c r="U27" i="48"/>
  <c r="U28" i="48" s="1"/>
  <c r="E12" i="40"/>
  <c r="M38" i="26"/>
  <c r="G13" i="40" s="1"/>
  <c r="Q40" i="48"/>
  <c r="M35" i="32"/>
  <c r="T41" i="48" s="1"/>
  <c r="L45" i="25"/>
  <c r="O12" i="41" s="1"/>
  <c r="R25" i="42"/>
  <c r="Q25" i="42"/>
  <c r="D11" i="42"/>
  <c r="L50" i="23"/>
  <c r="K50" i="24"/>
  <c r="K50" i="25"/>
  <c r="F11" i="42" s="1"/>
  <c r="I13" i="51"/>
  <c r="I13" i="50"/>
  <c r="I13" i="49"/>
  <c r="I13" i="47"/>
  <c r="I13" i="48"/>
  <c r="M40" i="30"/>
  <c r="R27" i="49" s="1"/>
  <c r="M33" i="29"/>
  <c r="Q13" i="48" s="1"/>
  <c r="AB11" i="49"/>
  <c r="L42" i="32"/>
  <c r="AE12" i="49" s="1"/>
  <c r="U42" i="47"/>
  <c r="H12" i="40"/>
  <c r="I12" i="40"/>
  <c r="P39" i="50"/>
  <c r="K47" i="30"/>
  <c r="R39" i="50" s="1"/>
  <c r="M40" i="32"/>
  <c r="T27" i="49" s="1"/>
  <c r="AF13" i="47"/>
  <c r="AF14" i="47" s="1"/>
  <c r="AG13" i="47"/>
  <c r="AG14" i="47" s="1"/>
  <c r="F7" i="34" s="1"/>
  <c r="F137" i="59" s="1"/>
  <c r="K12" i="51"/>
  <c r="J12" i="51"/>
  <c r="AA12" i="40"/>
  <c r="Z12" i="40"/>
  <c r="Q26" i="50"/>
  <c r="Q13" i="39"/>
  <c r="Q14" i="39" s="1"/>
  <c r="R13" i="39"/>
  <c r="R14" i="39" s="1"/>
  <c r="G4" i="52" s="1"/>
  <c r="M41" i="28"/>
  <c r="M41" i="31" s="1"/>
  <c r="S41" i="49" s="1"/>
  <c r="O41" i="49"/>
  <c r="M41" i="40"/>
  <c r="L44" i="28"/>
  <c r="L44" i="29" s="1"/>
  <c r="K44" i="31"/>
  <c r="H11" i="50" s="1"/>
  <c r="K44" i="30"/>
  <c r="G11" i="50" s="1"/>
  <c r="K44" i="29"/>
  <c r="Z12" i="50"/>
  <c r="V12" i="41"/>
  <c r="L48" i="28"/>
  <c r="L48" i="30" s="1"/>
  <c r="AC12" i="50" s="1"/>
  <c r="M48" i="23"/>
  <c r="M48" i="24" s="1"/>
  <c r="W13" i="41" s="1"/>
  <c r="M41" i="25"/>
  <c r="O41" i="40" s="1"/>
  <c r="L38" i="32"/>
  <c r="O26" i="51"/>
  <c r="M26" i="42"/>
  <c r="M52" i="23"/>
  <c r="Q26" i="41"/>
  <c r="R26" i="41"/>
  <c r="K50" i="28"/>
  <c r="K50" i="31" s="1"/>
  <c r="H11" i="51" s="1"/>
  <c r="M52" i="22"/>
  <c r="N26" i="51"/>
  <c r="L26" i="42"/>
  <c r="L52" i="24"/>
  <c r="L52" i="25"/>
  <c r="O26" i="42" s="1"/>
  <c r="N12" i="40"/>
  <c r="M39" i="26"/>
  <c r="P13" i="40" s="1"/>
  <c r="K12" i="48"/>
  <c r="J12" i="48"/>
  <c r="C13" i="50"/>
  <c r="C13" i="41"/>
  <c r="M32" i="31"/>
  <c r="H13" i="48" s="1"/>
  <c r="Q10" i="50"/>
  <c r="K45" i="32"/>
  <c r="T11" i="50" s="1"/>
  <c r="W11" i="42"/>
  <c r="M54" i="22"/>
  <c r="Y12" i="51"/>
  <c r="U12" i="42"/>
  <c r="H10" i="42"/>
  <c r="I10" i="42"/>
  <c r="Z13" i="39"/>
  <c r="Z14" i="39" s="1"/>
  <c r="AA13" i="39"/>
  <c r="AA14" i="39" s="1"/>
  <c r="G7" i="52" s="1"/>
  <c r="V26" i="49"/>
  <c r="U26" i="49"/>
  <c r="L48" i="25"/>
  <c r="X12" i="41" s="1"/>
  <c r="Y13" i="50"/>
  <c r="U13" i="41"/>
  <c r="L45" i="28"/>
  <c r="L45" i="29" s="1"/>
  <c r="P11" i="50"/>
  <c r="K45" i="30"/>
  <c r="R11" i="50" s="1"/>
  <c r="E10" i="42"/>
  <c r="K50" i="26"/>
  <c r="G11" i="42" s="1"/>
  <c r="AG11" i="49"/>
  <c r="AF11" i="49"/>
  <c r="Z11" i="51"/>
  <c r="V11" i="42"/>
  <c r="K54" i="28"/>
  <c r="L54" i="23"/>
  <c r="M40" i="31"/>
  <c r="S27" i="49" s="1"/>
  <c r="P38" i="51"/>
  <c r="J53" i="30"/>
  <c r="R38" i="51" s="1"/>
  <c r="J53" i="29"/>
  <c r="J53" i="31"/>
  <c r="S38" i="51" s="1"/>
  <c r="M33" i="31"/>
  <c r="S13" i="48" s="1"/>
  <c r="R11" i="41"/>
  <c r="Q11" i="41"/>
  <c r="AA10" i="51"/>
  <c r="J54" i="29"/>
  <c r="L47" i="28"/>
  <c r="O40" i="50"/>
  <c r="M40" i="41"/>
  <c r="M47" i="23"/>
  <c r="L38" i="30"/>
  <c r="G12" i="49" s="1"/>
  <c r="L52" i="26"/>
  <c r="P26" i="42" s="1"/>
  <c r="N25" i="42"/>
  <c r="U10" i="50"/>
  <c r="V10" i="50"/>
  <c r="Q38" i="50"/>
  <c r="K47" i="32"/>
  <c r="T39" i="50" s="1"/>
  <c r="M42" i="26"/>
  <c r="Y13" i="40" s="1"/>
  <c r="W12" i="40"/>
  <c r="Z13" i="49"/>
  <c r="V13" i="40"/>
  <c r="M42" i="28"/>
  <c r="M42" i="24"/>
  <c r="W13" i="40" s="1"/>
  <c r="M42" i="25"/>
  <c r="X13" i="40" s="1"/>
  <c r="O12" i="50"/>
  <c r="M12" i="41"/>
  <c r="M45" i="23"/>
  <c r="M45" i="25" s="1"/>
  <c r="O13" i="41" s="1"/>
  <c r="V42" i="47"/>
  <c r="F6" i="34" s="1"/>
  <c r="F136" i="59" s="1"/>
  <c r="N13" i="51"/>
  <c r="L13" i="42"/>
  <c r="N40" i="51"/>
  <c r="L40" i="42"/>
  <c r="N41" i="50"/>
  <c r="L41" i="41"/>
  <c r="W10" i="42"/>
  <c r="K54" i="26"/>
  <c r="Y11" i="42" s="1"/>
  <c r="Q10" i="51"/>
  <c r="V39" i="49"/>
  <c r="U39" i="49"/>
  <c r="L45" i="26"/>
  <c r="P12" i="41" s="1"/>
  <c r="N11" i="41"/>
  <c r="J12" i="49"/>
  <c r="K12" i="49"/>
  <c r="L44" i="25"/>
  <c r="F12" i="41" s="1"/>
  <c r="AG9" i="51"/>
  <c r="AF9" i="51"/>
  <c r="K52" i="32"/>
  <c r="T25" i="51" s="1"/>
  <c r="L46" i="31"/>
  <c r="S26" i="50" s="1"/>
  <c r="Q9" i="51"/>
  <c r="J51" i="32"/>
  <c r="T10" i="51" s="1"/>
  <c r="AA11" i="41"/>
  <c r="Z11" i="41"/>
  <c r="D13" i="49"/>
  <c r="D13" i="40"/>
  <c r="M39" i="28"/>
  <c r="P13" i="49" s="1"/>
  <c r="P12" i="49"/>
  <c r="H13" i="39"/>
  <c r="H14" i="39" s="1"/>
  <c r="I13" i="39"/>
  <c r="I14" i="39" s="1"/>
  <c r="G3" i="52" s="1"/>
  <c r="G8" i="52" s="1"/>
  <c r="Q39" i="49"/>
  <c r="L41" i="32"/>
  <c r="T40" i="49" s="1"/>
  <c r="V40" i="48"/>
  <c r="U40" i="48"/>
  <c r="L48" i="24"/>
  <c r="L48" i="26"/>
  <c r="Y12" i="41" s="1"/>
  <c r="W11" i="41"/>
  <c r="N13" i="50"/>
  <c r="L13" i="41"/>
  <c r="P40" i="49"/>
  <c r="L41" i="29"/>
  <c r="L41" i="31"/>
  <c r="S40" i="49" s="1"/>
  <c r="L41" i="30"/>
  <c r="R40" i="49" s="1"/>
  <c r="K51" i="28"/>
  <c r="K51" i="30" s="1"/>
  <c r="R11" i="51" s="1"/>
  <c r="P10" i="51"/>
  <c r="J50" i="29"/>
  <c r="L52" i="28"/>
  <c r="L52" i="31" s="1"/>
  <c r="S26" i="51" s="1"/>
  <c r="P25" i="51"/>
  <c r="M40" i="29"/>
  <c r="Q27" i="49" s="1"/>
  <c r="K53" i="28"/>
  <c r="O39" i="51"/>
  <c r="M39" i="42"/>
  <c r="L53" i="23"/>
  <c r="L53" i="25" s="1"/>
  <c r="O40" i="42" s="1"/>
  <c r="M33" i="30"/>
  <c r="R13" i="48" s="1"/>
  <c r="AG11" i="50"/>
  <c r="AF11" i="50"/>
  <c r="L47" i="26"/>
  <c r="P40" i="41" s="1"/>
  <c r="N39" i="41"/>
  <c r="M38" i="24"/>
  <c r="E13" i="40" s="1"/>
  <c r="M36" i="32"/>
  <c r="AE13" i="48" s="1"/>
  <c r="AB12" i="48"/>
  <c r="J54" i="32"/>
  <c r="AE10" i="51" s="1"/>
  <c r="AB9" i="51"/>
  <c r="L53" i="26"/>
  <c r="P40" i="42" s="1"/>
  <c r="M53" i="22"/>
  <c r="E133" i="59" l="1"/>
  <c r="E8" i="34"/>
  <c r="V13" i="48"/>
  <c r="V14" i="48" s="1"/>
  <c r="G4" i="34" s="1"/>
  <c r="G134" i="59" s="1"/>
  <c r="H12" i="41"/>
  <c r="U14" i="48"/>
  <c r="L54" i="26"/>
  <c r="Y12" i="42" s="1"/>
  <c r="Z12" i="42" s="1"/>
  <c r="K51" i="32"/>
  <c r="T11" i="51" s="1"/>
  <c r="V11" i="51" s="1"/>
  <c r="L52" i="32"/>
  <c r="T26" i="51" s="1"/>
  <c r="U26" i="51" s="1"/>
  <c r="M48" i="25"/>
  <c r="X13" i="41" s="1"/>
  <c r="M39" i="32"/>
  <c r="T13" i="49" s="1"/>
  <c r="V13" i="49" s="1"/>
  <c r="M45" i="24"/>
  <c r="N13" i="41" s="1"/>
  <c r="M47" i="26"/>
  <c r="P41" i="41" s="1"/>
  <c r="R41" i="41" s="1"/>
  <c r="Q39" i="42"/>
  <c r="M42" i="32"/>
  <c r="AE13" i="49" s="1"/>
  <c r="AF13" i="49" s="1"/>
  <c r="M38" i="29"/>
  <c r="F13" i="49" s="1"/>
  <c r="M38" i="30"/>
  <c r="G13" i="49" s="1"/>
  <c r="M39" i="30"/>
  <c r="R13" i="49" s="1"/>
  <c r="M39" i="29"/>
  <c r="Q13" i="49" s="1"/>
  <c r="M38" i="31"/>
  <c r="H13" i="49" s="1"/>
  <c r="G117" i="59"/>
  <c r="L52" i="30"/>
  <c r="R26" i="51" s="1"/>
  <c r="M46" i="29"/>
  <c r="Q27" i="50" s="1"/>
  <c r="G121" i="59"/>
  <c r="K51" i="29"/>
  <c r="Q11" i="51" s="1"/>
  <c r="H120" i="59"/>
  <c r="H119" i="59"/>
  <c r="G118" i="59"/>
  <c r="F12" i="50"/>
  <c r="R40" i="42"/>
  <c r="Q40" i="42"/>
  <c r="M42" i="29"/>
  <c r="AB13" i="49" s="1"/>
  <c r="AA13" i="49"/>
  <c r="Q26" i="42"/>
  <c r="R26" i="42"/>
  <c r="AB10" i="51"/>
  <c r="K54" i="32"/>
  <c r="AE11" i="51" s="1"/>
  <c r="L54" i="28"/>
  <c r="AA12" i="51" s="1"/>
  <c r="Z12" i="51"/>
  <c r="V12" i="42"/>
  <c r="M54" i="23"/>
  <c r="M54" i="25" s="1"/>
  <c r="X13" i="42" s="1"/>
  <c r="L44" i="32"/>
  <c r="K13" i="49"/>
  <c r="J13" i="49"/>
  <c r="J14" i="49" s="1"/>
  <c r="D12" i="51"/>
  <c r="D12" i="42"/>
  <c r="M50" i="23"/>
  <c r="L50" i="24"/>
  <c r="L50" i="25"/>
  <c r="F12" i="42" s="1"/>
  <c r="N12" i="41"/>
  <c r="M45" i="26"/>
  <c r="P13" i="41" s="1"/>
  <c r="AG10" i="51"/>
  <c r="AF10" i="51"/>
  <c r="Q40" i="41"/>
  <c r="R40" i="41"/>
  <c r="L53" i="28"/>
  <c r="L53" i="31" s="1"/>
  <c r="S40" i="51" s="1"/>
  <c r="O40" i="51"/>
  <c r="M40" i="42"/>
  <c r="M53" i="23"/>
  <c r="K50" i="32"/>
  <c r="Q12" i="50"/>
  <c r="V40" i="49"/>
  <c r="U40" i="49"/>
  <c r="V10" i="51"/>
  <c r="U10" i="51"/>
  <c r="L44" i="30"/>
  <c r="G12" i="50" s="1"/>
  <c r="O13" i="50"/>
  <c r="M13" i="41"/>
  <c r="V39" i="50"/>
  <c r="U39" i="50"/>
  <c r="AA11" i="51"/>
  <c r="K54" i="29"/>
  <c r="K54" i="31"/>
  <c r="AD11" i="51" s="1"/>
  <c r="K54" i="30"/>
  <c r="AC11" i="51" s="1"/>
  <c r="H11" i="42"/>
  <c r="I11" i="42"/>
  <c r="M45" i="28"/>
  <c r="P12" i="50"/>
  <c r="L54" i="25"/>
  <c r="X12" i="42" s="1"/>
  <c r="U11" i="50"/>
  <c r="V11" i="50"/>
  <c r="N27" i="51"/>
  <c r="L27" i="42"/>
  <c r="M52" i="25"/>
  <c r="O27" i="42" s="1"/>
  <c r="M52" i="24"/>
  <c r="N27" i="42" s="1"/>
  <c r="L45" i="30"/>
  <c r="R12" i="50" s="1"/>
  <c r="V27" i="49"/>
  <c r="V28" i="49" s="1"/>
  <c r="H5" i="34" s="1"/>
  <c r="H135" i="59" s="1"/>
  <c r="U27" i="49"/>
  <c r="U28" i="49" s="1"/>
  <c r="AF12" i="49"/>
  <c r="AG12" i="49"/>
  <c r="J13" i="50"/>
  <c r="J14" i="50" s="1"/>
  <c r="K13" i="50"/>
  <c r="K14" i="50" s="1"/>
  <c r="V41" i="48"/>
  <c r="V42" i="48" s="1"/>
  <c r="G6" i="34" s="1"/>
  <c r="G136" i="59" s="1"/>
  <c r="U41" i="48"/>
  <c r="U42" i="48" s="1"/>
  <c r="L45" i="32"/>
  <c r="T12" i="50" s="1"/>
  <c r="L51" i="26"/>
  <c r="P12" i="42" s="1"/>
  <c r="N11" i="42"/>
  <c r="V12" i="49"/>
  <c r="U12" i="49"/>
  <c r="F12" i="49"/>
  <c r="M38" i="32"/>
  <c r="L45" i="31"/>
  <c r="S12" i="50" s="1"/>
  <c r="N41" i="51"/>
  <c r="L41" i="42"/>
  <c r="P39" i="51"/>
  <c r="K53" i="29"/>
  <c r="K53" i="31"/>
  <c r="S39" i="51" s="1"/>
  <c r="K53" i="30"/>
  <c r="R39" i="51" s="1"/>
  <c r="Q40" i="49"/>
  <c r="M41" i="32"/>
  <c r="T41" i="49" s="1"/>
  <c r="M48" i="26"/>
  <c r="Y13" i="41" s="1"/>
  <c r="W12" i="41"/>
  <c r="Z13" i="40"/>
  <c r="Z14" i="40" s="1"/>
  <c r="AA13" i="40"/>
  <c r="AA14" i="40" s="1"/>
  <c r="H7" i="52" s="1"/>
  <c r="M47" i="28"/>
  <c r="M47" i="29" s="1"/>
  <c r="Q41" i="50" s="1"/>
  <c r="O41" i="50"/>
  <c r="M41" i="41"/>
  <c r="Q38" i="51"/>
  <c r="K53" i="32"/>
  <c r="T39" i="51" s="1"/>
  <c r="M44" i="28"/>
  <c r="E12" i="50"/>
  <c r="P41" i="49"/>
  <c r="M41" i="30"/>
  <c r="R41" i="49" s="1"/>
  <c r="I13" i="40"/>
  <c r="I14" i="40" s="1"/>
  <c r="H3" i="52" s="1"/>
  <c r="H13" i="40"/>
  <c r="H14" i="40" s="1"/>
  <c r="V26" i="50"/>
  <c r="U26" i="50"/>
  <c r="D13" i="50"/>
  <c r="D13" i="41"/>
  <c r="M47" i="25"/>
  <c r="O41" i="41" s="1"/>
  <c r="M52" i="28"/>
  <c r="P27" i="51" s="1"/>
  <c r="P26" i="51"/>
  <c r="L51" i="28"/>
  <c r="L51" i="29" s="1"/>
  <c r="P11" i="51"/>
  <c r="Z12" i="41"/>
  <c r="AA12" i="41"/>
  <c r="M42" i="30"/>
  <c r="AC13" i="49" s="1"/>
  <c r="Y13" i="51"/>
  <c r="U13" i="42"/>
  <c r="M44" i="24"/>
  <c r="E13" i="41" s="1"/>
  <c r="Q13" i="40"/>
  <c r="Q14" i="40" s="1"/>
  <c r="R13" i="40"/>
  <c r="R14" i="40" s="1"/>
  <c r="H4" i="52" s="1"/>
  <c r="L52" i="29"/>
  <c r="L50" i="28"/>
  <c r="Z13" i="50"/>
  <c r="V13" i="41"/>
  <c r="M48" i="28"/>
  <c r="K13" i="48"/>
  <c r="K14" i="48" s="1"/>
  <c r="J13" i="48"/>
  <c r="J14" i="48" s="1"/>
  <c r="J13" i="51"/>
  <c r="J14" i="51" s="1"/>
  <c r="K13" i="51"/>
  <c r="K14" i="51" s="1"/>
  <c r="K50" i="29"/>
  <c r="Q27" i="41"/>
  <c r="Q28" i="41" s="1"/>
  <c r="R27" i="41"/>
  <c r="R28" i="41" s="1"/>
  <c r="I5" i="52" s="1"/>
  <c r="L44" i="31"/>
  <c r="H12" i="50" s="1"/>
  <c r="M39" i="31"/>
  <c r="S13" i="49" s="1"/>
  <c r="K51" i="31"/>
  <c r="S11" i="51" s="1"/>
  <c r="O12" i="51"/>
  <c r="M12" i="42"/>
  <c r="M51" i="23"/>
  <c r="L51" i="25"/>
  <c r="O12" i="42" s="1"/>
  <c r="L51" i="24"/>
  <c r="L48" i="32"/>
  <c r="AE12" i="50" s="1"/>
  <c r="M46" i="30"/>
  <c r="R27" i="50" s="1"/>
  <c r="O27" i="51"/>
  <c r="M27" i="42"/>
  <c r="M47" i="24"/>
  <c r="N41" i="41" s="1"/>
  <c r="L53" i="24"/>
  <c r="AF13" i="48"/>
  <c r="AF14" i="48" s="1"/>
  <c r="AG13" i="48"/>
  <c r="AG14" i="48" s="1"/>
  <c r="G7" i="34" s="1"/>
  <c r="G137" i="59" s="1"/>
  <c r="U25" i="51"/>
  <c r="V25" i="51"/>
  <c r="Q12" i="41"/>
  <c r="R12" i="41"/>
  <c r="Z11" i="42"/>
  <c r="AA11" i="42"/>
  <c r="M41" i="29"/>
  <c r="Q41" i="49" s="1"/>
  <c r="M42" i="31"/>
  <c r="AD13" i="49" s="1"/>
  <c r="P40" i="50"/>
  <c r="L47" i="31"/>
  <c r="S40" i="50" s="1"/>
  <c r="L47" i="30"/>
  <c r="R40" i="50" s="1"/>
  <c r="L47" i="29"/>
  <c r="L54" i="24"/>
  <c r="M44" i="25"/>
  <c r="F13" i="41" s="1"/>
  <c r="M52" i="26"/>
  <c r="P27" i="42" s="1"/>
  <c r="N26" i="42"/>
  <c r="AA12" i="50"/>
  <c r="L48" i="31"/>
  <c r="AD12" i="50" s="1"/>
  <c r="M46" i="32"/>
  <c r="T27" i="50" s="1"/>
  <c r="J13" i="47"/>
  <c r="J14" i="47" s="1"/>
  <c r="K13" i="47"/>
  <c r="K14" i="47" s="1"/>
  <c r="K50" i="30"/>
  <c r="G11" i="51" s="1"/>
  <c r="L50" i="26"/>
  <c r="G12" i="42" s="1"/>
  <c r="E11" i="42"/>
  <c r="L47" i="32"/>
  <c r="T40" i="50" s="1"/>
  <c r="U38" i="51"/>
  <c r="V38" i="51"/>
  <c r="M46" i="31"/>
  <c r="S27" i="50" s="1"/>
  <c r="M44" i="26"/>
  <c r="G13" i="41" s="1"/>
  <c r="E12" i="41"/>
  <c r="R11" i="42"/>
  <c r="Q11" i="42"/>
  <c r="L48" i="29"/>
  <c r="U11" i="51" l="1"/>
  <c r="G3" i="34"/>
  <c r="V26" i="51"/>
  <c r="K14" i="49"/>
  <c r="H3" i="34" s="1"/>
  <c r="H133" i="59" s="1"/>
  <c r="I3" i="34"/>
  <c r="I133" i="59" s="1"/>
  <c r="F3" i="34"/>
  <c r="F133" i="59" s="1"/>
  <c r="J3" i="34"/>
  <c r="J133" i="59" s="1"/>
  <c r="H8" i="52"/>
  <c r="AA12" i="42"/>
  <c r="Q41" i="41"/>
  <c r="Q42" i="41"/>
  <c r="U13" i="49"/>
  <c r="M54" i="24"/>
  <c r="W13" i="42" s="1"/>
  <c r="AG13" i="49"/>
  <c r="AG14" i="49" s="1"/>
  <c r="H7" i="34" s="1"/>
  <c r="H137" i="59" s="1"/>
  <c r="L54" i="29"/>
  <c r="M47" i="30"/>
  <c r="R41" i="50" s="1"/>
  <c r="V14" i="49"/>
  <c r="H4" i="34" s="1"/>
  <c r="H134" i="59" s="1"/>
  <c r="L53" i="29"/>
  <c r="Q40" i="51" s="1"/>
  <c r="M52" i="30"/>
  <c r="R27" i="51" s="1"/>
  <c r="L54" i="31"/>
  <c r="AD12" i="51" s="1"/>
  <c r="I119" i="59"/>
  <c r="H118" i="59"/>
  <c r="H117" i="59"/>
  <c r="H121" i="59"/>
  <c r="V27" i="50"/>
  <c r="V28" i="50" s="1"/>
  <c r="I5" i="34" s="1"/>
  <c r="I135" i="59" s="1"/>
  <c r="U27" i="50"/>
  <c r="U28" i="50" s="1"/>
  <c r="Q12" i="51"/>
  <c r="O13" i="51"/>
  <c r="M13" i="42"/>
  <c r="M51" i="24"/>
  <c r="N13" i="42" s="1"/>
  <c r="M51" i="25"/>
  <c r="O13" i="42" s="1"/>
  <c r="M51" i="28"/>
  <c r="P13" i="51" s="1"/>
  <c r="P12" i="51"/>
  <c r="E13" i="50"/>
  <c r="M44" i="31"/>
  <c r="H13" i="50" s="1"/>
  <c r="U12" i="50"/>
  <c r="V12" i="50"/>
  <c r="M53" i="28"/>
  <c r="M53" i="30" s="1"/>
  <c r="R41" i="51" s="1"/>
  <c r="O41" i="51"/>
  <c r="M41" i="42"/>
  <c r="E12" i="42"/>
  <c r="M50" i="26"/>
  <c r="G13" i="42" s="1"/>
  <c r="M53" i="25"/>
  <c r="O41" i="42" s="1"/>
  <c r="Q27" i="42"/>
  <c r="Q28" i="42" s="1"/>
  <c r="R27" i="42"/>
  <c r="R28" i="42" s="1"/>
  <c r="J5" i="52" s="1"/>
  <c r="Q40" i="50"/>
  <c r="M47" i="32"/>
  <c r="T41" i="50" s="1"/>
  <c r="L51" i="31"/>
  <c r="S12" i="51" s="1"/>
  <c r="M48" i="31"/>
  <c r="AD13" i="50" s="1"/>
  <c r="AA13" i="50"/>
  <c r="M48" i="30"/>
  <c r="AC13" i="50" s="1"/>
  <c r="M48" i="29"/>
  <c r="AB13" i="50" s="1"/>
  <c r="M50" i="28"/>
  <c r="E13" i="51" s="1"/>
  <c r="E12" i="51"/>
  <c r="Q26" i="51"/>
  <c r="M52" i="32"/>
  <c r="T27" i="51" s="1"/>
  <c r="Z13" i="41"/>
  <c r="Z14" i="41" s="1"/>
  <c r="AA13" i="41"/>
  <c r="AA14" i="41" s="1"/>
  <c r="I7" i="52" s="1"/>
  <c r="U14" i="49"/>
  <c r="M52" i="29"/>
  <c r="Q27" i="51" s="1"/>
  <c r="P13" i="50"/>
  <c r="M45" i="29"/>
  <c r="Q13" i="50" s="1"/>
  <c r="M45" i="31"/>
  <c r="S13" i="50" s="1"/>
  <c r="M45" i="30"/>
  <c r="R13" i="50" s="1"/>
  <c r="L50" i="29"/>
  <c r="L50" i="30"/>
  <c r="G12" i="51" s="1"/>
  <c r="M44" i="32"/>
  <c r="M53" i="24"/>
  <c r="N41" i="42" s="1"/>
  <c r="M48" i="32"/>
  <c r="AE13" i="50" s="1"/>
  <c r="AB12" i="50"/>
  <c r="V40" i="50"/>
  <c r="U40" i="50"/>
  <c r="M54" i="26"/>
  <c r="Y13" i="42" s="1"/>
  <c r="W12" i="42"/>
  <c r="M53" i="26"/>
  <c r="P41" i="42" s="1"/>
  <c r="N40" i="42"/>
  <c r="M44" i="29"/>
  <c r="F13" i="50" s="1"/>
  <c r="V41" i="49"/>
  <c r="V42" i="49" s="1"/>
  <c r="H6" i="34" s="1"/>
  <c r="H136" i="59" s="1"/>
  <c r="U41" i="49"/>
  <c r="U42" i="49" s="1"/>
  <c r="Q39" i="51"/>
  <c r="L53" i="32"/>
  <c r="T40" i="51" s="1"/>
  <c r="AB11" i="51"/>
  <c r="L54" i="32"/>
  <c r="AE12" i="51" s="1"/>
  <c r="M45" i="32"/>
  <c r="T13" i="50" s="1"/>
  <c r="D13" i="51"/>
  <c r="D13" i="42"/>
  <c r="M50" i="25"/>
  <c r="F13" i="42" s="1"/>
  <c r="M50" i="24"/>
  <c r="E13" i="42" s="1"/>
  <c r="AF14" i="49"/>
  <c r="Z13" i="51"/>
  <c r="V13" i="42"/>
  <c r="M54" i="28"/>
  <c r="AG11" i="51"/>
  <c r="AF11" i="51"/>
  <c r="M44" i="30"/>
  <c r="G13" i="50" s="1"/>
  <c r="H13" i="41"/>
  <c r="H14" i="41" s="1"/>
  <c r="I13" i="41"/>
  <c r="I14" i="41" s="1"/>
  <c r="I3" i="52" s="1"/>
  <c r="H12" i="42"/>
  <c r="I12" i="42"/>
  <c r="R42" i="41"/>
  <c r="I6" i="52" s="1"/>
  <c r="AG12" i="50"/>
  <c r="AF12" i="50"/>
  <c r="M51" i="26"/>
  <c r="P13" i="42" s="1"/>
  <c r="N12" i="42"/>
  <c r="L51" i="30"/>
  <c r="R12" i="51" s="1"/>
  <c r="L50" i="32"/>
  <c r="AB12" i="51"/>
  <c r="V39" i="51"/>
  <c r="U39" i="51"/>
  <c r="P41" i="50"/>
  <c r="M47" i="31"/>
  <c r="S41" i="50" s="1"/>
  <c r="R12" i="42"/>
  <c r="Q12" i="42"/>
  <c r="M52" i="31"/>
  <c r="S27" i="51" s="1"/>
  <c r="P40" i="51"/>
  <c r="L53" i="30"/>
  <c r="Q13" i="41"/>
  <c r="Q14" i="41" s="1"/>
  <c r="R13" i="41"/>
  <c r="R14" i="41" s="1"/>
  <c r="I4" i="52" s="1"/>
  <c r="L51" i="32"/>
  <c r="T12" i="51" s="1"/>
  <c r="L50" i="31"/>
  <c r="H12" i="51" s="1"/>
  <c r="L54" i="30"/>
  <c r="AC12" i="51" s="1"/>
  <c r="G133" i="59" l="1"/>
  <c r="G8" i="34"/>
  <c r="H8" i="34"/>
  <c r="F8" i="34"/>
  <c r="I8" i="52"/>
  <c r="M50" i="31"/>
  <c r="H13" i="51" s="1"/>
  <c r="M50" i="30"/>
  <c r="G13" i="51" s="1"/>
  <c r="M50" i="29"/>
  <c r="F13" i="51" s="1"/>
  <c r="M53" i="29"/>
  <c r="Q41" i="51" s="1"/>
  <c r="I121" i="59"/>
  <c r="J119" i="59"/>
  <c r="I117" i="59"/>
  <c r="I118" i="59"/>
  <c r="I120" i="59"/>
  <c r="AG13" i="50"/>
  <c r="AG14" i="50" s="1"/>
  <c r="I7" i="34" s="1"/>
  <c r="I137" i="59" s="1"/>
  <c r="AF13" i="50"/>
  <c r="AF14" i="50" s="1"/>
  <c r="I13" i="42"/>
  <c r="I14" i="42" s="1"/>
  <c r="J3" i="52" s="1"/>
  <c r="H13" i="42"/>
  <c r="H14" i="42" s="1"/>
  <c r="P41" i="51"/>
  <c r="M53" i="31"/>
  <c r="S41" i="51" s="1"/>
  <c r="M51" i="30"/>
  <c r="R13" i="51" s="1"/>
  <c r="M51" i="32"/>
  <c r="T13" i="51" s="1"/>
  <c r="U13" i="50"/>
  <c r="U14" i="50" s="1"/>
  <c r="V13" i="50"/>
  <c r="V14" i="50" s="1"/>
  <c r="I4" i="34" s="1"/>
  <c r="I134" i="59" s="1"/>
  <c r="AG12" i="51"/>
  <c r="AF12" i="51"/>
  <c r="V40" i="51"/>
  <c r="U40" i="51"/>
  <c r="U41" i="50"/>
  <c r="U42" i="50" s="1"/>
  <c r="V41" i="50"/>
  <c r="V42" i="50" s="1"/>
  <c r="I6" i="34" s="1"/>
  <c r="I136" i="59" s="1"/>
  <c r="M51" i="31"/>
  <c r="S13" i="51" s="1"/>
  <c r="V12" i="51"/>
  <c r="U12" i="51"/>
  <c r="M54" i="32"/>
  <c r="AE13" i="51" s="1"/>
  <c r="R41" i="42"/>
  <c r="R42" i="42" s="1"/>
  <c r="J6" i="52" s="1"/>
  <c r="Q41" i="42"/>
  <c r="Q42" i="42" s="1"/>
  <c r="R40" i="51"/>
  <c r="M53" i="32"/>
  <c r="T41" i="51" s="1"/>
  <c r="R13" i="42"/>
  <c r="R14" i="42" s="1"/>
  <c r="J4" i="52" s="1"/>
  <c r="Q13" i="42"/>
  <c r="Q14" i="42" s="1"/>
  <c r="M54" i="31"/>
  <c r="AD13" i="51" s="1"/>
  <c r="AA13" i="51"/>
  <c r="M54" i="30"/>
  <c r="AC13" i="51" s="1"/>
  <c r="M54" i="29"/>
  <c r="AB13" i="51" s="1"/>
  <c r="Z13" i="42"/>
  <c r="Z14" i="42" s="1"/>
  <c r="AA13" i="42"/>
  <c r="AA14" i="42" s="1"/>
  <c r="J7" i="52" s="1"/>
  <c r="F12" i="51"/>
  <c r="M50" i="32"/>
  <c r="V27" i="51"/>
  <c r="V28" i="51" s="1"/>
  <c r="J5" i="34" s="1"/>
  <c r="J135" i="59" s="1"/>
  <c r="U27" i="51"/>
  <c r="U28" i="51" s="1"/>
  <c r="M51" i="29"/>
  <c r="Q13" i="51" s="1"/>
  <c r="I8" i="34" l="1"/>
  <c r="J117" i="59"/>
  <c r="J8" i="52"/>
  <c r="J118" i="59"/>
  <c r="J120" i="59"/>
  <c r="J121" i="59"/>
  <c r="AG13" i="51"/>
  <c r="AG14" i="51" s="1"/>
  <c r="J7" i="34" s="1"/>
  <c r="J137" i="59" s="1"/>
  <c r="AF13" i="51"/>
  <c r="AF14" i="51" s="1"/>
  <c r="V41" i="51"/>
  <c r="V42" i="51" s="1"/>
  <c r="J6" i="34" s="1"/>
  <c r="J136" i="59" s="1"/>
  <c r="U41" i="51"/>
  <c r="U42" i="51" s="1"/>
  <c r="V13" i="51"/>
  <c r="V14" i="51" s="1"/>
  <c r="J4" i="34" s="1"/>
  <c r="U13" i="51"/>
  <c r="U14" i="51" s="1"/>
  <c r="J8" i="34" l="1"/>
  <c r="J134" i="59"/>
</calcChain>
</file>

<file path=xl/sharedStrings.xml><?xml version="1.0" encoding="utf-8"?>
<sst xmlns="http://schemas.openxmlformats.org/spreadsheetml/2006/main" count="1128" uniqueCount="88">
  <si>
    <t>Product Name</t>
  </si>
  <si>
    <t>Month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</si>
  <si>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</si>
  <si>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</si>
  <si>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</si>
  <si>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</si>
  <si>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</si>
  <si>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</si>
  <si>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</si>
  <si>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</si>
  <si>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</si>
  <si>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</si>
  <si>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</si>
  <si>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</si>
  <si>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Total</t>
  </si>
  <si>
    <t>TOTAL</t>
  </si>
  <si>
    <t>T1</t>
  </si>
  <si>
    <t>T2</t>
  </si>
  <si>
    <t>T3</t>
  </si>
  <si>
    <t>T4</t>
  </si>
  <si>
    <t>T5</t>
  </si>
  <si>
    <t>T6</t>
  </si>
  <si>
    <t>T7</t>
  </si>
  <si>
    <t>T9</t>
  </si>
  <si>
    <t>T8</t>
  </si>
  <si>
    <t>T10</t>
  </si>
  <si>
    <t>T12</t>
  </si>
  <si>
    <t>T11</t>
  </si>
  <si>
    <t>PE</t>
  </si>
  <si>
    <t>PEt</t>
  </si>
  <si>
    <t>MAPE Parameter</t>
  </si>
  <si>
    <t>Produk</t>
  </si>
  <si>
    <t>Kecepatan Produksi (cases/jam)</t>
  </si>
  <si>
    <t>Shift</t>
  </si>
  <si>
    <t>Hours</t>
  </si>
  <si>
    <t>minutes</t>
  </si>
  <si>
    <t>Bulan</t>
  </si>
  <si>
    <t>Hari Kerja</t>
  </si>
  <si>
    <t>Jam Kerja Tersedia (Jam)</t>
  </si>
  <si>
    <t>Jam Kerja Tersedia (Menit)</t>
  </si>
  <si>
    <t>Januari 2021</t>
  </si>
  <si>
    <t>Februari 2021</t>
  </si>
  <si>
    <t>Maret 2021</t>
  </si>
  <si>
    <t>Mei 2021</t>
  </si>
  <si>
    <t>Juni 2021</t>
  </si>
  <si>
    <t>Juli 2021</t>
  </si>
  <si>
    <t>Agustus 2021</t>
  </si>
  <si>
    <t>Oktober 2021</t>
  </si>
  <si>
    <t>Desember 2021</t>
  </si>
  <si>
    <t>No.</t>
  </si>
  <si>
    <t>Jumlah Produksi (cases)</t>
  </si>
  <si>
    <t>Target</t>
  </si>
  <si>
    <t>Kurang</t>
  </si>
  <si>
    <t>Produksi</t>
  </si>
  <si>
    <t>-</t>
  </si>
  <si>
    <t>Waktu Kerja (menit)</t>
  </si>
  <si>
    <t>Tersedia</t>
  </si>
  <si>
    <t>Terpakai</t>
  </si>
  <si>
    <t>Jam Kerja Tersedia</t>
  </si>
  <si>
    <t>From Lingo Jam Kerja Terpakai</t>
  </si>
  <si>
    <t>Selisih</t>
  </si>
  <si>
    <t>Januari 2022</t>
  </si>
  <si>
    <t>Februari 2022</t>
  </si>
  <si>
    <t>Maret 2022</t>
  </si>
  <si>
    <t>Mei 2022</t>
  </si>
  <si>
    <t>Juni 2022</t>
  </si>
  <si>
    <t>Juli 2022</t>
  </si>
  <si>
    <t>Agustus 2022</t>
  </si>
  <si>
    <t>Oktober 2022</t>
  </si>
  <si>
    <t>Desember 2022</t>
  </si>
  <si>
    <t>PE Double Exponential Smoothing Parameter 0.1</t>
  </si>
  <si>
    <t>PE Triple Exponential Smoothing Parameter 0.1</t>
  </si>
  <si>
    <t>S'</t>
  </si>
  <si>
    <t>S''</t>
  </si>
  <si>
    <t>at</t>
  </si>
  <si>
    <t>bt</t>
  </si>
  <si>
    <t>ftm</t>
  </si>
  <si>
    <t>S'''</t>
  </si>
  <si>
    <t>ct</t>
  </si>
  <si>
    <t>Waktu Kerja (mOil At)</t>
  </si>
  <si>
    <t>Oil A 20 LT</t>
  </si>
  <si>
    <t>Oil A 200 LT</t>
  </si>
  <si>
    <t>Oil A 1000 LT</t>
  </si>
  <si>
    <t>Oil B 20 LT</t>
  </si>
  <si>
    <t>Oil B 200 LT</t>
  </si>
  <si>
    <t>Kecepatan Produksi (kg/jam)</t>
  </si>
  <si>
    <t>Xt</t>
  </si>
  <si>
    <t>S'''t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</si>
</sst>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0" xfId="0" applyNumberFormat="1" applyFill="1"/>
    <xf numFmtId="2" fontId="0" fillId="2" borderId="1" xfId="0" applyNumberFormat="1" applyFill="1" applyBorder="1"/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0" fontId="0" fillId="2" borderId="0" xfId="1" applyNumberFormat="1" applyFont="1" applyFill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5" xfId="0" applyFill="1" applyBorder="1"/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4" fontId="0" fillId="2" borderId="0" xfId="0" applyNumberFormat="1" applyFill="1"/>
    <xf numFmtId="165" fontId="0" fillId="2" borderId="0" xfId="0" applyNumberFormat="1" applyFill="1"/>
    <xf numFmtId="0" fontId="3" fillId="2" borderId="1" xfId="0" applyFont="1" applyFill="1" applyBorder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0" fillId="2" borderId="3" xfId="0" applyFill="1" applyBorder="1" applyAlignment="1">
      <alignment horizontal="left"/>
    </xf>
    <xf numFmtId="17" fontId="0" fillId="2" borderId="3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1" fontId="0" fillId="2" borderId="0" xfId="0" applyNumberFormat="1" applyFill="1"/>
    <xf numFmtId="17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distributed" wrapText="1"/>
    </xf>
    <xf numFmtId="2" fontId="2" fillId="2" borderId="3" xfId="0" applyNumberFormat="1" applyFont="1" applyFill="1" applyBorder="1" applyAlignment="1">
      <alignment horizontal="center" vertical="distributed" wrapText="1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3" xfId="0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Hasil Produksi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kg!$B$1:$M$2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OVERALL!$B$8:$M$8</c:f>
              <c:numCache>
                <c:formatCode>0.00</c:formatCode>
                <c:ptCount val="12"/>
                <c:pt idx="0">
                  <c:v>501693.90000000008</c:v>
                </c:pt>
                <c:pt idx="1">
                  <c:v>478350.05</c:v>
                </c:pt>
                <c:pt idx="2">
                  <c:v>466503.19000000006</c:v>
                </c:pt>
                <c:pt idx="3">
                  <c:v>581781.43000000005</c:v>
                </c:pt>
                <c:pt idx="4">
                  <c:v>306586.03999999998</c:v>
                </c:pt>
                <c:pt idx="5">
                  <c:v>468085.37</c:v>
                </c:pt>
                <c:pt idx="6">
                  <c:v>627466.73</c:v>
                </c:pt>
                <c:pt idx="7">
                  <c:v>626126</c:v>
                </c:pt>
                <c:pt idx="8">
                  <c:v>581089.05000000005</c:v>
                </c:pt>
                <c:pt idx="9">
                  <c:v>644590.25999999989</c:v>
                </c:pt>
                <c:pt idx="10">
                  <c:v>582415.79</c:v>
                </c:pt>
                <c:pt idx="11">
                  <c:v>525589.69000000006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E8-49FE-AAA4-81EE3C8EC279}"/>
            </c:ext>
          </c:extLst>
        </c:ser>
        <c:ser>
          <c:idx val="0"/>
          <c:order val="1"/>
          <c:tx>
            <c:v>Single Exponential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kg!$B$1:$M$2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OVERALL!$B$33:$M$33</c:f>
              <c:numCache>
                <c:formatCode>0.00</c:formatCode>
                <c:ptCount val="12"/>
                <c:pt idx="0">
                  <c:v>501693.90000000008</c:v>
                </c:pt>
                <c:pt idx="1">
                  <c:v>499359.51500000001</c:v>
                </c:pt>
                <c:pt idx="2">
                  <c:v>496073.88250000001</c:v>
                </c:pt>
                <c:pt idx="3">
                  <c:v>504644.63725000009</c:v>
                </c:pt>
                <c:pt idx="4">
                  <c:v>484838.77752499998</c:v>
                </c:pt>
                <c:pt idx="5">
                  <c:v>483163.43677250005</c:v>
                </c:pt>
                <c:pt idx="6">
                  <c:v>497593.76609525003</c:v>
                </c:pt>
                <c:pt idx="7">
                  <c:v>510446.98948572512</c:v>
                </c:pt>
                <c:pt idx="8">
                  <c:v>517511.19553715264</c:v>
                </c:pt>
                <c:pt idx="9">
                  <c:v>530219.10198343743</c:v>
                </c:pt>
                <c:pt idx="10">
                  <c:v>535438.77078509377</c:v>
                </c:pt>
                <c:pt idx="11">
                  <c:v>534453.86270658439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E8-49FE-AAA4-81EE3C8EC279}"/>
            </c:ext>
          </c:extLst>
        </c:ser>
        <c:ser>
          <c:idx val="2"/>
          <c:order val="2"/>
          <c:tx>
            <c:v>Double Exponential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kg!$B$1:$M$2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OVERALL!$B$41:$M$41</c:f>
              <c:numCache>
                <c:formatCode>0.00</c:formatCode>
                <c:ptCount val="12"/>
                <c:pt idx="0">
                  <c:v>501693.90000000008</c:v>
                </c:pt>
                <c:pt idx="1">
                  <c:v>501460.46150000003</c:v>
                </c:pt>
                <c:pt idx="2">
                  <c:v>500921.8036000001</c:v>
                </c:pt>
                <c:pt idx="3">
                  <c:v>501294.08696500014</c:v>
                </c:pt>
                <c:pt idx="4">
                  <c:v>499648.55602100008</c:v>
                </c:pt>
                <c:pt idx="5">
                  <c:v>498000.04409615009</c:v>
                </c:pt>
                <c:pt idx="6">
                  <c:v>497959.41629606008</c:v>
                </c:pt>
                <c:pt idx="7">
                  <c:v>499208.17361502658</c:v>
                </c:pt>
                <c:pt idx="8">
                  <c:v>501038.47580723924</c:v>
                </c:pt>
                <c:pt idx="9">
                  <c:v>503956.53842485917</c:v>
                </c:pt>
                <c:pt idx="10">
                  <c:v>507104.76166088256</c:v>
                </c:pt>
                <c:pt idx="11">
                  <c:v>509839.67176545277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E8-49FE-AAA4-81EE3C8EC279}"/>
            </c:ext>
          </c:extLst>
        </c:ser>
        <c:ser>
          <c:idx val="3"/>
          <c:order val="3"/>
          <c:tx>
            <c:strRef>
              <c:f>kg!$O$11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kg!$B$1:$M$2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OVERALL!$B$146:$M$146</c:f>
              <c:numCache>
                <c:formatCode>0.00</c:formatCode>
                <c:ptCount val="12"/>
                <c:pt idx="0">
                  <c:v>561802.96375228604</c:v>
                </c:pt>
                <c:pt idx="1">
                  <c:v>564537.87385685625</c:v>
                </c:pt>
                <c:pt idx="2">
                  <c:v>567272.78396142647</c:v>
                </c:pt>
                <c:pt idx="3">
                  <c:v>570007.69406599668</c:v>
                </c:pt>
                <c:pt idx="4">
                  <c:v>572742.60417056677</c:v>
                </c:pt>
                <c:pt idx="5">
                  <c:v>575477.51427513699</c:v>
                </c:pt>
                <c:pt idx="6">
                  <c:v>578212.4243797072</c:v>
                </c:pt>
                <c:pt idx="7">
                  <c:v>580947.33448427741</c:v>
                </c:pt>
                <c:pt idx="8">
                  <c:v>583682.2445888475</c:v>
                </c:pt>
                <c:pt idx="9">
                  <c:v>586417.15469341772</c:v>
                </c:pt>
                <c:pt idx="10">
                  <c:v>589152.06479798793</c:v>
                </c:pt>
                <c:pt idx="11">
                  <c:v>591886.97490255814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E8-49FE-AAA4-81EE3C8EC279}"/>
            </c:ext>
          </c:extLst>
        </c:ser>
        <c:ser>
          <c:idx val="4"/>
          <c:order val="4"/>
          <c:tx>
            <c:v>Triple Exponential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OVERALL!$B$73:$M$73</c:f>
              <c:numCache>
                <c:formatCode>0.00</c:formatCode>
                <c:ptCount val="12"/>
                <c:pt idx="0">
                  <c:v>501693.90000000008</c:v>
                </c:pt>
                <c:pt idx="1">
                  <c:v>501670.55615000002</c:v>
                </c:pt>
                <c:pt idx="2">
                  <c:v>501595.68089500011</c:v>
                </c:pt>
                <c:pt idx="3">
                  <c:v>501565.52150200011</c:v>
                </c:pt>
                <c:pt idx="4">
                  <c:v>501373.82495390018</c:v>
                </c:pt>
                <c:pt idx="5">
                  <c:v>501036.44686812512</c:v>
                </c:pt>
                <c:pt idx="6">
                  <c:v>500728.74381091859</c:v>
                </c:pt>
                <c:pt idx="7">
                  <c:v>500576.68679132935</c:v>
                </c:pt>
                <c:pt idx="8">
                  <c:v>500622.8656929204</c:v>
                </c:pt>
                <c:pt idx="9">
                  <c:v>500956.2329661143</c:v>
                </c:pt>
                <c:pt idx="10">
                  <c:v>501571.08583559113</c:v>
                </c:pt>
                <c:pt idx="11">
                  <c:v>502397.94442857732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AE8-49FE-AAA4-81EE3C8EC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63712"/>
        <c:axId val="679663352"/>
      </c:lineChart>
      <c:catAx>
        <c:axId val="67966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63352"/>
        <c:crosses val="autoZero"/>
        <c:auto val="1"/>
        <c:lblAlgn val="ctr"/>
        <c:lblOffset val="100"/>
        <c:noMultiLvlLbl val="0"/>
      </c:catAx>
      <c:valAx>
        <c:axId val="67966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6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Hasil Produksi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kg!$B$1:$M$2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OVERALL!$B$8:$M$8</c:f>
              <c:numCache>
                <c:formatCode>0.00</c:formatCode>
                <c:ptCount val="12"/>
                <c:pt idx="0">
                  <c:v>501693.90000000008</c:v>
                </c:pt>
                <c:pt idx="1">
                  <c:v>478350.05</c:v>
                </c:pt>
                <c:pt idx="2">
                  <c:v>466503.19000000006</c:v>
                </c:pt>
                <c:pt idx="3">
                  <c:v>581781.43000000005</c:v>
                </c:pt>
                <c:pt idx="4">
                  <c:v>306586.03999999998</c:v>
                </c:pt>
                <c:pt idx="5">
                  <c:v>468085.37</c:v>
                </c:pt>
                <c:pt idx="6">
                  <c:v>627466.73</c:v>
                </c:pt>
                <c:pt idx="7">
                  <c:v>626126</c:v>
                </c:pt>
                <c:pt idx="8">
                  <c:v>581089.05000000005</c:v>
                </c:pt>
                <c:pt idx="9">
                  <c:v>644590.25999999989</c:v>
                </c:pt>
                <c:pt idx="10">
                  <c:v>582415.79</c:v>
                </c:pt>
                <c:pt idx="11">
                  <c:v>525589.69000000006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71-4C73-8A25-8411B359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63712"/>
        <c:axId val="679663352"/>
      </c:lineChart>
      <c:catAx>
        <c:axId val="67966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63352"/>
        <c:crosses val="autoZero"/>
        <c:auto val="1"/>
        <c:lblAlgn val="ctr"/>
        <c:lblOffset val="100"/>
        <c:noMultiLvlLbl val="0"/>
      </c:catAx>
      <c:valAx>
        <c:axId val="67966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6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12</xdr:col>
      <xdr:colOff>144780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290304-9EAA-44A1-A0B7-F16AE79DB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8</xdr:row>
      <xdr:rowOff>83820</xdr:rowOff>
    </xdr:from>
    <xdr:to>
      <xdr:col>20</xdr:col>
      <xdr:colOff>144780</xdr:colOff>
      <xdr:row>23</xdr:row>
      <xdr:rowOff>83820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A7D917-D787-4A5B-8623-8C2626D66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DA9603-3371-4B30-9377-C78083111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0E89B6-CFE8-4104-845F-C8EE2B879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38A0A53-E8B0-468B-94FB-BAB65DA65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B546BE4-DA2D-473A-8DF7-870B72AC6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207D014-0F55-4A43-AE65-33CB8B2557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7AF1769-9C1C-433A-A4A7-76DA8541E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2FA442B-5F24-489B-A713-87804FC64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BA134A01-3E77-47A5-A406-120ABFF1F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3935E42-5F24-40EF-9CFC-8D3B4055E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47ED62E-FFA9-4DF4-9ED4-9E96B6579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92311DF-3EEA-45AB-9D30-833BFBDBB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D9B76A4-C60A-4378-B14A-FB87C6BF4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75D8C0B2-0C7C-438B-BE5C-CB59C460A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25F3F40-42AF-4FA1-82B7-F9D8537EC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274A1B17-7AFA-412C-8E23-42237503D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60898A5-69DD-4AE4-9707-864D0BFC6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633962E-5EF8-450A-8DDE-4D20C178A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3D548E23-DAA2-4064-81FF-523623926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C845B82-1E2A-472E-BD10-9DD01F911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A9C43325-6CE7-476F-B0C4-83C6224DC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CDCB2FEC-F012-4B7F-8DDC-2CBAB6DCD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A705D8D4-1730-4721-B011-D4B84B44A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21FD79CD-9BA6-4996-A18B-670992127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D6DCA188-0E7D-49F8-B26C-0A1BAC4AC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D73AE5CF-7AB9-4A67-92C6-5664FD51C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6026EA-C21D-4BFB-8DFD-62D67F210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3A276B-9C0F-4A6D-8D2C-BB97D1CA4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04F3B7B-B0E7-4A95-8D96-C5A49770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155EFA5-6E7D-42F9-B80D-12C79CE5F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8B30394-2BEE-42D5-B564-1A7FEE25A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1DF4DA6-76DE-4ED6-B4BD-18311CF63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4F7FD996-C74B-4C34-B93C-4F307124E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6E7D5BA-8FC1-4CB0-AE3B-1F8772C16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4AD9E62-EFAD-45AF-BF48-1A5FCAF2A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220D3B48-9995-4141-AB8E-62F7361F3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3AB1ADB-FDF4-4E2B-B5EA-24F85124F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4CF74D7-11E0-43E8-AD52-B97351177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FEE77E6-6285-47D0-B9B8-FBE563413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4031B0B-889E-486E-8A2E-93DEA6EFD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733DFBC-8C66-4C6C-995D-CF924DE9B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69805097-6438-408A-B744-A601FE51A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36744707-79C4-4292-938B-E8A68513E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94214C40-18CA-495C-8E19-59791415F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C1D839B7-DA6C-4A39-A8F9-03ECFC42F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B25B35D-D1AB-47F0-8F7B-A958ECC0A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24680792-E0F5-41FD-A6AA-D90BD391B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7CAC1FC-8E58-4CBD-B9EC-9C8D2AEC2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A317D62-1C1C-4504-B75D-C9DCB9A66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1EC5AC16-E4E6-4E21-8E89-9AC8DA9C3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C8D0B528-3CC8-4A99-8F7C-82E123AC4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09D8F0-D634-414D-9B1A-F5ED54E29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ADDE767-6FFF-4788-9FB3-E9D3131BE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3CB95FD-9CC5-41E9-AB2D-710189FDD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81304B4-B53E-4F6F-8DFD-34380288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254C389-82B1-46C6-A605-9B35175CF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A744682-08CB-4871-A633-4E8AEB2AA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DB79F50-574C-41D0-98D5-D60474322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21B91B3-C69B-4664-B13C-C2BD259FD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8FF1BF6-CF00-41BE-B3AD-FAFAC9439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3622B64-58B4-4150-A27B-25A0EEEC3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092A610-E728-42BC-B804-EE0592176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BAC9158-3ADB-4AFA-B601-B4C68C036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967D2691-A2B7-4D2F-BE89-60CC9A488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F6F0C69-77A3-4680-A6CC-73D0BA416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FF80818-E9A2-41B6-B4D2-B3DEB5915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F8EFFA9D-E07E-40B0-9121-F93F81C64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6881DADF-7053-41F5-8C0E-4FC229633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033E423-D48B-4B04-ABD5-527C5E87D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3D320B2-8ECB-467E-8BF8-99567A880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BA9CDFCD-C416-43BC-ACBD-8BE024306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765BFB2-0BB6-497A-84A0-B74B67ED7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2379A031-9F0C-4791-B9D8-082BEE963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E40CCBC-4B61-4920-AA4A-0BEB166EE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163D629D-A1D8-4191-8955-93EBA1700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0FD81F0-BED0-441F-A073-80CC48E6C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4583A9-3A4C-4C6C-950A-9C6AEB682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EC87A3-186D-4285-81E9-8B1617856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B6FA05B-0376-4B9E-AF19-1D6670722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70D6CCC-1C36-41B5-A93A-BD59A5313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CA7F7BC-4FB1-4394-A62C-7A311BD8D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870EBCA-7F13-4040-A6A8-C70B283CC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20A189D-4D47-4661-90AB-A3C152655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F14C62F-537B-4AA8-B915-0F58B845E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E0268EC-D0D1-47E8-9647-574811D79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FF916C3-3484-493C-BE77-3FB14E575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D0C62E92-3A44-4981-8C7D-87F18962F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C4C4936-09CA-4DA1-8B92-532570D12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871AF70-83D2-4DE4-AFBE-7D998E56D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EA71CB1-4B45-47DB-A3C4-EC519A6AC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0BAA7C8-2D8D-4F99-AD29-4B7982AA1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7C9469A-A541-4E32-80E9-4CE3340DD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EB7A160-30ED-44F6-AF7C-5A8EB33F1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4981EED-B72A-46E9-BB9F-60B31B75F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3FF6E600-A9C5-4467-A5C3-8587AB785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4195B517-1E1A-4D52-96A3-C75D1A044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20F780CA-FA9F-4E3E-99CE-3AF727C3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9C871CD2-BDD9-4566-A385-B2029232D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C456173-8D91-4BF8-A6AB-9F3E501C5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E398199F-3762-49F1-8160-E8EA4B669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94A7A81B-F62B-4ECA-B9D1-A2EFE9A4F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15FD8E-4222-416D-9149-9B346A74A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80B5289-9AF4-4BE6-BD61-FB067959B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40D258B-5576-439E-B2C8-6F6F3AB5A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15CEF58-1AE4-453E-A264-123E3ACB9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5F4211F-719A-48B4-A1DC-869468B68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AC0410F-361B-4FFA-A646-D875EA670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E3A4F7A-3BB7-4718-9540-C57C558A2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847E019-9672-4ED6-A3F5-A64C83CD1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E762CB3-CEEE-4931-972C-012B0D2BA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773C9CA-A7FA-4615-8926-D7415FF71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E947114-46D3-4C99-8E12-E669DA051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694E5EE-27C4-42E0-8388-FB647F818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014E59B-2F3E-45E5-9133-F1A0DDD6E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91DD3CF-1E52-4E5C-8050-D8273B7A1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2938BCD-12B9-43E0-BE42-8DF27B793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883480D-64B3-4FE3-9DB9-7F9948238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E7061D2-0D43-4FDE-A820-3D3914938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06D5F1D-C48D-412D-97B0-7BAB247D8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33B2562-5968-414F-B76B-DEFAE6FE1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CE68A030-B46F-45E2-A941-D53FB2EB8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23A9626F-E066-4222-BD16-193FC4112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A7724F4A-D720-4C94-B76C-A1DF19116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ABFD17B7-41F8-4705-89A1-D499FC143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8F2A3502-79A0-429F-B2AB-DAEEC0AF6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A3AB6CE8-E8D5-4E63-9191-30FBE4C72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11D9F0-B6DA-4C73-9EAB-BF1ECA237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D5ACA0-1938-4546-A324-57BEC7D89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A7F75A1-9788-476C-B0CD-3156C8406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55C488-159F-4B58-8C9D-8172AF2D1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AC173AA-B156-481C-9D62-C08E2877D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BA7EAC-5003-4C44-8AEF-11715CAFC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FCCAEDD-22BC-40D4-8BE2-579F30AF6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1514D55-78C2-4442-B4D6-96D23D008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4E0058A-0390-4187-81BB-5EC8E3F10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1BE3521-3476-4213-95A8-662755F6E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78B9A3A-1980-4D0F-B968-DCF40DBE8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92CC52C-B0B4-4483-AAFC-670295413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0C0D17E-310D-4BE7-8F5E-13D546435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16E919D-BCB4-4741-8F94-27BE92700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D67D5E0E-9F4C-44D6-8E18-762321466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CF31309A-E8BE-4435-AF45-41E235E38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54F96939-7932-4A62-9E76-C3B867BA2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E8293870-DED7-4A8B-B3A1-55BE09E3F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5383675-F905-4118-8457-0B282F659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15EC7FE2-3E72-4DFB-9F09-5A034E27D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848875FC-71B4-4A60-AC70-EFFF1C69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2637022-3CD7-4E5A-93FA-C79524DEC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8B3BD063-F288-471B-8B43-20124EB1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C80897DC-729E-4D19-A5A4-7E190C747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FA51DC0-1588-4528-B5C3-B09F353E5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7AD077-849D-4507-AA9F-87FBC6410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1A513F4-F70C-4B3B-B1A3-42FB114F7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7447BDF-9204-4D52-842C-D4D577D0E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3FD6E9F-88DD-45FE-813D-B62C95584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D51DE45-4532-4D2F-B9DA-147D26A2B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6170E4C-F521-49EE-9C69-3B1A26C5A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1FE5C3B-EE81-4DA8-B012-7953E0729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C8FE559-6699-4CFD-B0D7-FB15E204A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1C449CFB-B58D-4020-94C6-326653049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77EDBB5-2EC3-4773-978D-7F1A6E4EB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91013DA-B237-444D-A4D6-754E40AA8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37BD8C7-C9A1-4A75-8407-7A9686DFE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AD03F552-D681-4993-9E34-2E1DF5473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A15EDB9-B5A9-49C4-8BD3-8C33FB143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22567C5-B412-42B0-9485-BDE0606A2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80F84EB-9A83-4552-86FD-4C887C0A4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D22F48AC-044A-4A1A-AD91-AF282E1E5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A70344C1-1078-45BA-B71F-8B8703F8C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537F27E-DAA8-4494-B0C8-D7942DB9C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A7F3014-4758-4989-974D-80E1BF0AA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1FDA9793-C7BB-40F8-B3BB-677A574D2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C1D109D-EB13-427F-8F1D-156259F2B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5DCA4601-4D20-4BE4-8196-BEAC883AB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367A9742-CDC8-4834-9EA2-259611E1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B96FCD34-AC29-4363-A49D-3CAE28349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DD8AF5-6199-43A1-9FF4-9DE211BAD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F5F1A0-E246-4102-BA03-ED774915A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FFF518-C40C-4432-BBDB-7ADDC3FC9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A68CC1D-15F7-4A45-A90A-9C466691E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834D33A-4742-4F9A-A5BE-ACBE4C2BC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BC88C1-2AAE-4225-99B7-F1E08D173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0853C03-8CD4-4224-BFFB-B65D45CB2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F315A30-E0FE-428D-8192-E00E0E91B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4EC8958-279C-4251-86FC-6FDED37B6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D80FC91-33DC-40AC-B999-5439599D7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C82E2E1-8E61-419F-97F1-6D35DBB0D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BB03B85-7AAB-41CD-90DF-4C317EC7D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8DADABC3-E839-4844-8893-45D08A157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611ED36-9FF9-4497-A428-0F0FFC98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076C1C4-DFAC-461A-A0EA-D97F88B7C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712FDAF-85BA-4B64-9755-1A3118EA5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987682FB-D33D-48E0-8CFE-BBB5C830A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2A6BD985-A4B3-492A-A0B7-5490D83EF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9AE0805-A85B-48B4-AA7D-6FC10B546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3214073A-359D-4C53-9B87-9B494C906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1FFD6A15-73E1-4F4D-A6A2-D5746A6F2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3C71DFDB-1537-412F-9C4F-577232D43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73E49F27-C830-4B30-BD6D-0B309F878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31E42933-031F-4D2C-9172-CE6E098CA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BDCC29A-C4BA-4761-8416-98BB443AF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09280B-6343-412D-9EE0-32F1A2B3A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E74ADD-FBD9-4A2B-81A1-C412E55A0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BAE1F07-3E73-41A3-953E-09EEBE8A8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93C79B8-0E4E-4707-8D92-2293686B9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FA01A63-1D16-4B62-A1F0-6699CF5E9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8FDCD9B-0958-4EA0-A6C1-426429E74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43DF43F-0EB9-47C9-95E4-3D9766644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E734864-39CE-474A-B1EE-34DDE9951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8ED3FF7-F388-4F19-B153-97DD26A1A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A2DDE18-3614-4E00-923E-285BC2A45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522E28C-E55F-4EAC-86A6-4581BF3F2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2C297BC-A30E-42A3-97B8-0FDCD834B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3F7B465F-E8AE-4272-A199-6BAEB391F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606E6EE-9F26-4D98-9D51-9D5E9830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4B04677-2901-451E-B8F1-6A785BAA0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702561D5-0AAE-41F5-A76F-C3B743713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9A901C3-2573-4B29-8357-E65C4E9BA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3C60A0B5-A63D-4397-AE6A-3F10EC607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71220780-5E18-40FA-9A4D-49DE114CC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FD15DCD5-4F60-4DBB-9DAB-F99338D86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B314534B-50F3-4320-9193-1864B9392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10E3060-E3DB-4816-9A96-3035FEA21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1B84AC2-4BA5-4BB6-B1F2-5271FF18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F55B2C81-26FD-4697-ADFC-99B07A5AB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BBDB2FEC-86A8-4D78-828A-DBE9D2FC3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AD28AD-A226-4F16-A751-C67F8E63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7E77FE-81C2-4702-B620-CE93254CD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99060</xdr:colOff>
      <xdr:row>0</xdr:row>
      <xdr:rowOff>0</xdr:rowOff>
    </xdr:from>
    <xdr:to>
      <xdr:col>8</xdr:col>
      <xdr:colOff>388620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8131699-9C5D-4EF5-91C0-1DF821AAE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281940</xdr:colOff>
      <xdr:row>0</xdr:row>
      <xdr:rowOff>0</xdr:rowOff>
    </xdr:from>
    <xdr:to>
      <xdr:col>5</xdr:col>
      <xdr:colOff>403860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958AF93-7AC5-4DC8-82B1-EDFFAC332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350520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CE4349C-366F-40B0-87F0-7A883D612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0</xdr:row>
      <xdr:rowOff>0</xdr:rowOff>
    </xdr:from>
    <xdr:to>
      <xdr:col>13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9E40FE8-76F4-4C25-BBF0-0773149F9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0</xdr:row>
      <xdr:rowOff>0</xdr:rowOff>
    </xdr:from>
    <xdr:to>
      <xdr:col>14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7653B00-A968-4E7B-94A9-39E219C9E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0</xdr:row>
      <xdr:rowOff>0</xdr:rowOff>
    </xdr:from>
    <xdr:to>
      <xdr:col>19</xdr:col>
      <xdr:colOff>388620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83A903A-988F-4F31-84BA-2B353E517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0</xdr:row>
      <xdr:rowOff>0</xdr:rowOff>
    </xdr:from>
    <xdr:to>
      <xdr:col>16</xdr:col>
      <xdr:colOff>403860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57FC251-7C0D-4278-85D4-71C402385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0</xdr:row>
      <xdr:rowOff>0</xdr:rowOff>
    </xdr:from>
    <xdr:to>
      <xdr:col>17</xdr:col>
      <xdr:colOff>350520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CF430400-F3EA-4F2F-BF11-BCB80CEF2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14</xdr:row>
      <xdr:rowOff>0</xdr:rowOff>
    </xdr:from>
    <xdr:to>
      <xdr:col>13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C2EC5FD3-B526-4DB8-AF52-26872009A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14</xdr:row>
      <xdr:rowOff>0</xdr:rowOff>
    </xdr:from>
    <xdr:to>
      <xdr:col>14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8465AC6-751F-4447-81B7-E08491235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14</xdr:row>
      <xdr:rowOff>0</xdr:rowOff>
    </xdr:from>
    <xdr:to>
      <xdr:col>19</xdr:col>
      <xdr:colOff>388620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20079B9-4C5A-4E06-A30D-6296AAAFE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14</xdr:row>
      <xdr:rowOff>0</xdr:rowOff>
    </xdr:from>
    <xdr:to>
      <xdr:col>16</xdr:col>
      <xdr:colOff>403860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3184764-1E73-4C00-9ECD-E710A348F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14</xdr:row>
      <xdr:rowOff>0</xdr:rowOff>
    </xdr:from>
    <xdr:to>
      <xdr:col>17</xdr:col>
      <xdr:colOff>350520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572BD1A9-C99A-44A9-92DE-88120BCB4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297180</xdr:colOff>
      <xdr:row>28</xdr:row>
      <xdr:rowOff>0</xdr:rowOff>
    </xdr:from>
    <xdr:to>
      <xdr:col>13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D7A951-2090-4C70-ADFB-F2ADFB35A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327660</xdr:colOff>
      <xdr:row>28</xdr:row>
      <xdr:rowOff>0</xdr:rowOff>
    </xdr:from>
    <xdr:to>
      <xdr:col>14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674A920-9C7F-4099-9C8E-85FC9AE46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99060</xdr:colOff>
      <xdr:row>28</xdr:row>
      <xdr:rowOff>0</xdr:rowOff>
    </xdr:from>
    <xdr:to>
      <xdr:col>19</xdr:col>
      <xdr:colOff>388620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28AC0DC-CF7D-40AE-9C93-D5FA88705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281940</xdr:colOff>
      <xdr:row>28</xdr:row>
      <xdr:rowOff>0</xdr:rowOff>
    </xdr:from>
    <xdr:to>
      <xdr:col>16</xdr:col>
      <xdr:colOff>403860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A0EA6F91-61AC-4DD3-8239-B708EB332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228600</xdr:colOff>
      <xdr:row>28</xdr:row>
      <xdr:rowOff>0</xdr:rowOff>
    </xdr:from>
    <xdr:to>
      <xdr:col>17</xdr:col>
      <xdr:colOff>350520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58E9CF27-93B2-4B0B-A8DD-796AB0D9F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297180</xdr:colOff>
      <xdr:row>0</xdr:row>
      <xdr:rowOff>0</xdr:rowOff>
    </xdr:from>
    <xdr:to>
      <xdr:col>24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8F4899E1-B363-40CE-B9E5-4D45CA556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327660</xdr:colOff>
      <xdr:row>0</xdr:row>
      <xdr:rowOff>0</xdr:rowOff>
    </xdr:from>
    <xdr:to>
      <xdr:col>25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345E4E56-0198-4FA4-8B17-22E892442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99060</xdr:colOff>
      <xdr:row>0</xdr:row>
      <xdr:rowOff>0</xdr:rowOff>
    </xdr:from>
    <xdr:to>
      <xdr:col>30</xdr:col>
      <xdr:colOff>388620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DE5C8CEE-7B87-4CB2-AABC-EC0223473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281940</xdr:colOff>
      <xdr:row>0</xdr:row>
      <xdr:rowOff>0</xdr:rowOff>
    </xdr:from>
    <xdr:to>
      <xdr:col>27</xdr:col>
      <xdr:colOff>403860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9802EF5B-EF74-47DD-AA15-8029944FE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56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228600</xdr:colOff>
      <xdr:row>0</xdr:row>
      <xdr:rowOff>0</xdr:rowOff>
    </xdr:from>
    <xdr:to>
      <xdr:col>28</xdr:col>
      <xdr:colOff>350520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6F7CCAC-8D9E-4A03-B6E5-070BDC838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289560</xdr:colOff>
      <xdr:row>0</xdr:row>
      <xdr:rowOff>0</xdr:rowOff>
    </xdr:from>
    <xdr:to>
      <xdr:col>11</xdr:col>
      <xdr:colOff>411480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82BCE2-77CA-449A-81AD-6C0D762AF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8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281940</xdr:colOff>
      <xdr:row>0</xdr:row>
      <xdr:rowOff>0</xdr:rowOff>
    </xdr:from>
    <xdr:to>
      <xdr:col>12</xdr:col>
      <xdr:colOff>403860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EA617E-3DBE-4373-BE0B-E5EEDDE0D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8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274320</xdr:colOff>
      <xdr:row>0</xdr:row>
      <xdr:rowOff>0</xdr:rowOff>
    </xdr:from>
    <xdr:to>
      <xdr:col>13</xdr:col>
      <xdr:colOff>396240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84A6A4C-A3C8-40B9-91A9-3F86E5308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251460</xdr:colOff>
      <xdr:row>0</xdr:row>
      <xdr:rowOff>0</xdr:rowOff>
    </xdr:from>
    <xdr:to>
      <xdr:col>14</xdr:col>
      <xdr:colOff>373380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4157C39-5877-48CC-8A91-2469D79AE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3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137160</xdr:colOff>
      <xdr:row>0</xdr:row>
      <xdr:rowOff>0</xdr:rowOff>
    </xdr:from>
    <xdr:to>
      <xdr:col>15</xdr:col>
      <xdr:colOff>426720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800B5F2-33D0-440B-A4EC-DDAEC0253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8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DF00D3B-78E5-4072-8E71-42B4F9DD6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E0830CB-0E85-4D15-9D03-866CBA0A9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A8FC8B9-10A2-4C8A-A1F2-BBE0F133D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37222BA-DB75-4D8D-82F6-D0C39AE09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072527D-4CE8-4D40-8728-9729A2D70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90CB572-140F-4059-9BA3-68DFE7F5D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8BF7A48-13D0-4433-A563-B8FA433F7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19BF3A-40E1-44E8-84F2-D3E4AFBDD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73E4614C-BE83-4AC4-8D90-ABAA45AEF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72A316C-86F0-457F-971E-8A80B7410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F3DCB6A4-0E0F-41A2-BC5C-18D72239C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81AFC19-EEC5-4C33-9C4D-05480D363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7C21FC36-7A69-4193-9307-AFA785C86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72DCE798-FB69-463E-AF8C-0B524C18D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EDD2B245-AB1A-4EC5-8BEB-BAE72CAC7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C303B7E0-9666-405D-AA89-0A6FCBC1D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6E4BC86D-63AF-48BB-8960-C784BFF90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769BC740-4B9B-488D-AD6E-B5BE239AE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30147CA2-9B4F-43E1-8034-CD2CB09BA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D34F4A88-E901-4C57-870D-B44A902FC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9F25DC-0B52-4BB4-AEC0-23A7F86A4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E40E3CE-E157-4859-83D6-42275BE9A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5E7881-6A9A-477C-90FF-54AE31775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ADA4D4C-BBC6-48BB-8B39-374BE841C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A9CD49C-66C5-47EA-85C7-EC0108577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FC80CC7-B031-47C1-8A8D-4BB0ABD9C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8343D62-0441-47FD-BE29-843D762A3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F992C96-B60B-48A9-B5AB-2C716F79D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18DCBD3-385B-4471-B1AC-2D9FA3DBB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D464AD7C-A31B-4876-A7D7-C6F2D0186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CC0F1BB-9CA2-4769-A6D9-4CD0D2B68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FDDB48B-ABBD-4561-928F-CE5F48058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B72F2F5-D81E-4BB6-8764-0A47926D7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0C84F9A-7CF4-4B19-8834-C5EABC520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8C57E72-DF48-4514-85C5-A2A4BBCFB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4DC8FDC-77A0-4E17-9CBA-222AB5A06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5AFF9DAE-93D0-4BFC-B3D2-855CDB33B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3B599983-C32B-43DA-9867-B3AE50E10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67E1C99A-F091-4886-A52D-987FB6B1D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BCD66D18-3093-45CB-89DF-678A0B8D5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84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CE5E1ADD-8E4B-4A24-B099-A684AE5B2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6F42D7AE-1A44-46D0-BCA9-ACBDF9B86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950023D-806D-45A1-8882-CC63145095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B051D6B5-A02A-4445-8F26-0459F0717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1F360595-AEA2-46FA-87E4-C94E0EC1B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F924A3-7385-449A-B210-9F0A12747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018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852CEF-06F2-42BE-B76E-E4DDEC9BF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978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641C1A1-45C9-4346-AFE3-DF42A4B85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8938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C532C51-807E-4273-B4DC-7B9447076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7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BBA8729-2428-4F47-90C2-4BFE5C0E9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5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272BCE8-5018-4D9C-97D3-55DCBE67C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018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2FB0BA8-71B2-4CE0-BECE-5BEC1708C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978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F097C7E-C507-47A7-BCD3-211F0F84E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8938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82C03BD-B60B-4627-9D7F-C3A11D898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7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41F95A7-BF7F-49B5-AE81-5338EDB66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5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B161697-929E-4D02-8044-2D3EFC8B2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018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16BFE33-8060-42C3-A03E-675E6FC58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978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303A9A2-01C7-4BAB-A502-ABB33831B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8938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1DD9282-5818-45DB-9084-003D49FF9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7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B9441CB-129B-4B45-9048-9562AEA60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5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F3883426-AB45-426A-B3BD-0A5BAF92A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018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A1FC939-D787-4EBC-BDBE-1E7946931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978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70E7DCA5-13F7-4A5D-A730-3E4A1CE1F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8938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38EB337-7E36-4700-A652-DF805D627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374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B7703F86-A617-4137-B13F-9B73143D5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2570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A64062FC-6695-4184-8B5D-0E41D1110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3E849945-584E-4055-ABC9-A0A594D2B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F71CFDD9-5B1D-4E68-94A8-5B6C34D51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2FBB60DD-AFF9-414C-BB00-9BFF05E01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394E971-BB63-45E1-B117-DEFEADC34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2CCC3B-9722-4380-881C-C40693740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4C7F6-3A56-46FD-9F65-AA0A1A5D1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C129B6-4601-40A7-9E53-10F832A49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D70609-DC2B-49C8-AEF6-BF3E0842A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6D149F-82CB-49D5-95CB-D75B6505E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C0754A4-F6C6-4CB1-A65A-C06F98DFE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69090A1-B236-4CA5-873A-1625D6B7C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7E085DF-B75B-4EFD-A3B0-EEA1002B8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9153889-4987-45AD-B762-D001BBE22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6DC3351-02F6-4E38-ABDC-00C9137A8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B33A6FB-F26E-4FED-BA5B-9C8D67088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D5A3CCA-062E-4CCD-B7A0-3806819A0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A1E81894-BDA2-4719-AFB1-5DAE3106E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168B0178-9C1F-4E99-8473-9EC2F02F6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CF42FF1F-9FF6-4F25-BEDB-5B793F7B8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7B66C0E6-7AC0-421A-BC43-027EA453C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A4F6C7F7-F506-4B89-A8DC-21A70C28C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EAE4DE2-0E46-46F5-B891-72A99926E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45CF7DD0-6814-4524-9111-BBADFE65D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677176BB-130B-4303-B49C-74A880D41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EC25E11-C392-405B-9562-80E2D60ED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3B3994EA-D43D-407E-B392-C9FA6DAEA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F841C5D5-5B3B-4C5B-B30C-D47585807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62850F25-FAA3-4E29-BC07-D56788A4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35699BF3-C768-455A-8635-5C0C2AE0F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BFAD98-18D3-4FBF-92BB-47DBD1F31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96E749-20AC-45B3-A1E0-1B4E34AAB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26796B-922B-4E0B-A448-A8C674F6F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FAF47D8-183E-4D8E-9478-2564BC940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8A0AFAE-2070-48C2-95C2-FB376F5B4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AD8260E-A545-4F5D-8F74-0D6BA2FD6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CC5B07E-BB2D-405C-869E-CF43903EE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2A22684-7CC2-4E9E-9C84-62B5F96FD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48367FE-FB97-4133-A5F1-22AE5C52C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0CBF946-BD1F-4C5E-8CC0-585B613C3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E2B4876-306A-4071-8459-FFE563349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E450E152-0C27-41FD-A7DE-7F5278A71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E32F8F3-5E79-4A3B-B2A0-FB5BBB269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FB4F7F7-3BB5-4FC0-B57A-C8A31DD9A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741EDCD-DCD3-4FCF-9ABF-13C3728AC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C7782D9-F7C5-4D17-8F73-16D9CE982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C78CFD0-31B8-47E6-9531-052205A52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257CB7D3-28B6-4A55-891F-350F3783A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8EA7CF89-58AA-44F4-AD2C-7DAEDBE41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33864C08-BABF-47C0-AAAD-7D982682B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122AFEE2-ECE7-4BD5-9368-4E35AD10A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DA09AF8-942B-49D7-9A5E-F237BB119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9561E2DB-827B-4EBD-AC4F-DCD7F53FF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1670D276-9F4F-4845-8A8A-2D4986B38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68729F83-DD81-4FF1-A658-7D9D26743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42C32D-0A63-4AB4-9891-EE7D60A9E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33AAFE2-4530-4A32-BE30-C907A42F3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418FD42-CBFA-4BFC-8459-0DC6FEFC4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16DB099-E4EF-4F93-9751-E1D947D9E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6711389-51CD-47E2-A31B-BC5E5A192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04DAA89-8047-4357-9369-128D2B479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16CEBEC-11E3-40F7-973C-F4432EF85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A22CF53-8277-4317-8F73-B7BE818EA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A8F029A8-214D-47E6-BF15-50C8B1266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CA97D314-1075-449E-A05A-B63151934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1755E35-D345-4358-86FD-98D8DE85B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2FD1B03-19A3-4B15-A881-936EB33C7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59D0F77-3204-428C-83D5-43531EE87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282ABBB-9177-4B46-A22E-56B12A5EB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0D1BBD5-E1B6-4224-A6F0-9F7A47311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48F16065-CA3E-4516-BFB1-04CF7C31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893E77B-95D2-4831-9553-81EAF6CF0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2C1282CE-FD41-40C8-A170-77A74849F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65118152-66C1-4B2D-883B-6E6531245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AAA4D567-176A-480E-A5B5-8F82F5D19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93E981CE-2874-495F-82FA-0805CAE3E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ABFED2D8-991B-463A-B4E3-DB5D23FB0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C8663E46-6966-444D-9B5B-DD9EF5397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5E0AF8C2-363E-44C3-91C7-F7CC1D7D7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7736A35D-198A-4B2B-A597-A3F066235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1E0E3D-4BF0-4BFB-975E-2270C7BAA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40DAE18-3A1A-4F90-B35A-CBCDB96C1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42A8505-04A5-4EAE-9B85-7E81EE13A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80C2BED-FA40-4F37-A9CA-2788551E9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CAD54BF-8BEF-447E-B3C0-5C829B951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2DC96C8-D968-4972-B6EC-315CA4A4A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0FD91E6-9A92-48E7-BB1A-94BE4CEB1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B07213-5FEF-4A58-B5D0-CEC2DF4C3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4A56D13-59EC-4A52-9DF8-E1A8C930F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00D1B2F-A191-4561-B396-BDFDD62A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93F3838-6FF0-4012-B9B6-0B16230F2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8DBF217B-BC5B-4E45-A7A1-018760BD5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A1AF1CD2-B96D-4B62-AB0E-E0BDA8937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FFCE332-5992-4EE3-A0CB-67456E581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2ECF1603-528F-49AA-9D66-4FC316762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7AB9850-E948-4F16-ABC5-C0243E67D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8BA466D-936B-4B95-A9ED-3A4DC71D7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6B25800E-66C6-487B-A478-F3A624624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F9FF2A36-ADE1-40EF-826B-852341068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EADFFE5A-40A8-4EF6-8435-5FCE72D90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778BD763-73D4-4D14-8E0F-4023AC28E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3D7440CC-1544-44C5-8C2B-3AAC22132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D33A1272-2CA0-4CC8-B60A-DEBA01333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5943149F-F622-4B1D-A33B-F1D91348F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5AF7D7A4-BBBA-4F18-A25D-2586EF88E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0</xdr:rowOff>
    </xdr:from>
    <xdr:to>
      <xdr:col>2</xdr:col>
      <xdr:colOff>419100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A8E2CA-00B2-423D-9E58-60272FAE2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327660</xdr:colOff>
      <xdr:row>0</xdr:row>
      <xdr:rowOff>0</xdr:rowOff>
    </xdr:from>
    <xdr:to>
      <xdr:col>3</xdr:col>
      <xdr:colOff>449580</xdr:colOff>
      <xdr:row>1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6268E0-321F-4E68-BF3E-DF8C9D7B4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358140</xdr:colOff>
      <xdr:row>0</xdr:row>
      <xdr:rowOff>0</xdr:rowOff>
    </xdr:from>
    <xdr:to>
      <xdr:col>4</xdr:col>
      <xdr:colOff>480060</xdr:colOff>
      <xdr:row>1</xdr:row>
      <xdr:rowOff>22860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67AB276-AD8F-474F-B0B7-5EE853A24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373380</xdr:colOff>
      <xdr:row>0</xdr:row>
      <xdr:rowOff>0</xdr:rowOff>
    </xdr:from>
    <xdr:to>
      <xdr:col>5</xdr:col>
      <xdr:colOff>495300</xdr:colOff>
      <xdr:row>1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117A9E0-35EC-45B3-84AF-70ABC087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259080</xdr:colOff>
      <xdr:row>0</xdr:row>
      <xdr:rowOff>0</xdr:rowOff>
    </xdr:from>
    <xdr:to>
      <xdr:col>6</xdr:col>
      <xdr:colOff>548640</xdr:colOff>
      <xdr:row>1</xdr:row>
      <xdr:rowOff>22860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D0167E0-9B97-48D0-AF64-DEEB00E8C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0</xdr:row>
      <xdr:rowOff>0</xdr:rowOff>
    </xdr:from>
    <xdr:to>
      <xdr:col>11</xdr:col>
      <xdr:colOff>419100</xdr:colOff>
      <xdr:row>1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92B07BE-9555-4F23-A8F6-84A1C029E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0</xdr:row>
      <xdr:rowOff>0</xdr:rowOff>
    </xdr:from>
    <xdr:to>
      <xdr:col>12</xdr:col>
      <xdr:colOff>449580</xdr:colOff>
      <xdr:row>1</xdr:row>
      <xdr:rowOff>30480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53A7077-E4C5-4A9E-9FA6-A27F4E6D0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0</xdr:row>
      <xdr:rowOff>0</xdr:rowOff>
    </xdr:from>
    <xdr:to>
      <xdr:col>13</xdr:col>
      <xdr:colOff>480060</xdr:colOff>
      <xdr:row>1</xdr:row>
      <xdr:rowOff>22860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09967CA-CB87-4DD1-A4AD-2BAE1554A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0</xdr:row>
      <xdr:rowOff>0</xdr:rowOff>
    </xdr:from>
    <xdr:to>
      <xdr:col>14</xdr:col>
      <xdr:colOff>495300</xdr:colOff>
      <xdr:row>1</xdr:row>
      <xdr:rowOff>22860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9B7299-0484-423B-80DD-CF0F841DF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0</xdr:row>
      <xdr:rowOff>0</xdr:rowOff>
    </xdr:from>
    <xdr:to>
      <xdr:col>15</xdr:col>
      <xdr:colOff>548640</xdr:colOff>
      <xdr:row>1</xdr:row>
      <xdr:rowOff>22860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BE63ACA-76A4-4A5C-8532-98E322168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14</xdr:row>
      <xdr:rowOff>0</xdr:rowOff>
    </xdr:from>
    <xdr:to>
      <xdr:col>11</xdr:col>
      <xdr:colOff>419100</xdr:colOff>
      <xdr:row>15</xdr:row>
      <xdr:rowOff>38100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15502BE-A785-490D-846C-7BB5899E3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14</xdr:row>
      <xdr:rowOff>0</xdr:rowOff>
    </xdr:from>
    <xdr:to>
      <xdr:col>12</xdr:col>
      <xdr:colOff>449580</xdr:colOff>
      <xdr:row>15</xdr:row>
      <xdr:rowOff>30480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E5683BB-FBA1-4CF7-ACC7-5CED37CE8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14</xdr:row>
      <xdr:rowOff>0</xdr:rowOff>
    </xdr:from>
    <xdr:to>
      <xdr:col>13</xdr:col>
      <xdr:colOff>480060</xdr:colOff>
      <xdr:row>15</xdr:row>
      <xdr:rowOff>22860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B522903-DA1F-4276-AEF0-10614FAC8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14</xdr:row>
      <xdr:rowOff>0</xdr:rowOff>
    </xdr:from>
    <xdr:to>
      <xdr:col>14</xdr:col>
      <xdr:colOff>495300</xdr:colOff>
      <xdr:row>15</xdr:row>
      <xdr:rowOff>22860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CBF9022-75C7-479A-A74F-282F02451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14</xdr:row>
      <xdr:rowOff>0</xdr:rowOff>
    </xdr:from>
    <xdr:to>
      <xdr:col>15</xdr:col>
      <xdr:colOff>548640</xdr:colOff>
      <xdr:row>15</xdr:row>
      <xdr:rowOff>22860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F04381EB-62EB-44F5-8895-0E31EA9D1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297180</xdr:colOff>
      <xdr:row>28</xdr:row>
      <xdr:rowOff>0</xdr:rowOff>
    </xdr:from>
    <xdr:to>
      <xdr:col>11</xdr:col>
      <xdr:colOff>419100</xdr:colOff>
      <xdr:row>29</xdr:row>
      <xdr:rowOff>38100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D1EC962-5383-4BA1-82FE-654BCD8A3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327660</xdr:colOff>
      <xdr:row>28</xdr:row>
      <xdr:rowOff>0</xdr:rowOff>
    </xdr:from>
    <xdr:to>
      <xdr:col>12</xdr:col>
      <xdr:colOff>449580</xdr:colOff>
      <xdr:row>29</xdr:row>
      <xdr:rowOff>30480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2ECC430-9872-49EF-A48C-4CB291AAE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358140</xdr:colOff>
      <xdr:row>28</xdr:row>
      <xdr:rowOff>0</xdr:rowOff>
    </xdr:from>
    <xdr:to>
      <xdr:col>13</xdr:col>
      <xdr:colOff>480060</xdr:colOff>
      <xdr:row>29</xdr:row>
      <xdr:rowOff>22860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8E40327F-25EE-4159-8126-78E4912C3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373380</xdr:colOff>
      <xdr:row>28</xdr:row>
      <xdr:rowOff>0</xdr:rowOff>
    </xdr:from>
    <xdr:to>
      <xdr:col>14</xdr:col>
      <xdr:colOff>495300</xdr:colOff>
      <xdr:row>29</xdr:row>
      <xdr:rowOff>22860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D8620B32-2129-4CFB-80AD-96CE41859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259080</xdr:colOff>
      <xdr:row>28</xdr:row>
      <xdr:rowOff>0</xdr:rowOff>
    </xdr:from>
    <xdr:to>
      <xdr:col>15</xdr:col>
      <xdr:colOff>548640</xdr:colOff>
      <xdr:row>29</xdr:row>
      <xdr:rowOff>22860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C42428D3-4BD2-4C5E-B88F-AD7BC5D14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297180</xdr:colOff>
      <xdr:row>0</xdr:row>
      <xdr:rowOff>0</xdr:rowOff>
    </xdr:from>
    <xdr:to>
      <xdr:col>20</xdr:col>
      <xdr:colOff>419100</xdr:colOff>
      <xdr:row>1</xdr:row>
      <xdr:rowOff>38100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6E6BBE6C-9FFD-4210-B67B-BECA87883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" y="0"/>
          <a:ext cx="12192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327660</xdr:colOff>
      <xdr:row>0</xdr:row>
      <xdr:rowOff>0</xdr:rowOff>
    </xdr:from>
    <xdr:to>
      <xdr:col>21</xdr:col>
      <xdr:colOff>449580</xdr:colOff>
      <xdr:row>1</xdr:row>
      <xdr:rowOff>30480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A1147D9-102D-4BCF-A961-86570CA52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0"/>
          <a:ext cx="1219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358140</xdr:colOff>
      <xdr:row>0</xdr:row>
      <xdr:rowOff>0</xdr:rowOff>
    </xdr:from>
    <xdr:to>
      <xdr:col>22</xdr:col>
      <xdr:colOff>480060</xdr:colOff>
      <xdr:row>1</xdr:row>
      <xdr:rowOff>22860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5132692E-A8EB-4D9F-8971-2826BFA82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32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373380</xdr:colOff>
      <xdr:row>0</xdr:row>
      <xdr:rowOff>0</xdr:rowOff>
    </xdr:from>
    <xdr:to>
      <xdr:col>23</xdr:col>
      <xdr:colOff>495300</xdr:colOff>
      <xdr:row>1</xdr:row>
      <xdr:rowOff>22860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5E61DB50-840B-487C-91C9-07CFC2687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0"/>
          <a:ext cx="1219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259080</xdr:colOff>
      <xdr:row>0</xdr:row>
      <xdr:rowOff>0</xdr:rowOff>
    </xdr:from>
    <xdr:to>
      <xdr:col>24</xdr:col>
      <xdr:colOff>548640</xdr:colOff>
      <xdr:row>1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9AC7A6D2-C8D9-49A5-AED8-3649C5826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0"/>
          <a:ext cx="28956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693BF-D4EE-4CDB-AB4A-7CC793187696}">
  <dimension ref="A1:AA11"/>
  <sheetViews>
    <sheetView workbookViewId="0">
      <selection activeCell="E1" sqref="E1:E2"/>
    </sheetView>
  </sheetViews>
  <sheetFormatPr defaultColWidth="8.88671875" defaultRowHeight="14.4" x14ac:dyDescent="0.3"/>
  <cols>
    <col min="1" max="1" width="14.109375" style="1" bestFit="1" customWidth="1"/>
    <col min="2" max="4" width="9.44140625" style="1" bestFit="1" customWidth="1"/>
    <col min="5" max="5" width="10.44140625" style="1" bestFit="1" customWidth="1"/>
    <col min="6" max="10" width="9.44140625" style="1" bestFit="1" customWidth="1"/>
    <col min="11" max="11" width="10.44140625" style="1" bestFit="1" customWidth="1"/>
    <col min="12" max="13" width="9.44140625" style="1" bestFit="1" customWidth="1"/>
    <col min="14" max="14" width="11.44140625" style="1" bestFit="1" customWidth="1"/>
    <col min="15" max="15" width="14.33203125" style="1" bestFit="1" customWidth="1"/>
    <col min="16" max="16" width="10.44140625" style="1" bestFit="1" customWidth="1"/>
    <col min="17" max="17" width="9.44140625" style="1" bestFit="1" customWidth="1"/>
    <col min="18" max="18" width="11.44140625" style="1" bestFit="1" customWidth="1"/>
    <col min="19" max="19" width="12" style="1" bestFit="1" customWidth="1"/>
    <col min="20" max="20" width="11.44140625" style="1" bestFit="1" customWidth="1"/>
    <col min="21" max="27" width="9.44140625" style="1" bestFit="1" customWidth="1"/>
    <col min="28" max="16384" width="8.88671875" style="1"/>
  </cols>
  <sheetData>
    <row r="1" spans="1:27" x14ac:dyDescent="0.3">
      <c r="A1" s="8" t="s">
        <v>1</v>
      </c>
      <c r="B1" s="32" t="s">
        <v>2</v>
      </c>
      <c r="C1" s="30" t="s">
        <v>3</v>
      </c>
      <c r="D1" s="30" t="s">
        <v>4</v>
      </c>
      <c r="E1" s="30" t="s">
        <v>5</v>
      </c>
      <c r="F1" s="30" t="s">
        <v>6</v>
      </c>
      <c r="G1" s="30" t="s">
        <v>7</v>
      </c>
      <c r="H1" s="30" t="s">
        <v>8</v>
      </c>
      <c r="I1" s="30" t="s">
        <v>9</v>
      </c>
      <c r="J1" s="30" t="s">
        <v>10</v>
      </c>
      <c r="K1" s="30" t="s">
        <v>11</v>
      </c>
      <c r="L1" s="30" t="s">
        <v>12</v>
      </c>
      <c r="M1" s="30" t="s">
        <v>13</v>
      </c>
      <c r="N1" s="30" t="s">
        <v>14</v>
      </c>
    </row>
    <row r="2" spans="1:27" x14ac:dyDescent="0.3">
      <c r="A2" s="9" t="s">
        <v>0</v>
      </c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27" x14ac:dyDescent="0.3">
      <c r="A3" s="4" t="s">
        <v>80</v>
      </c>
      <c r="B3" s="5">
        <v>12588.09</v>
      </c>
      <c r="C3" s="5">
        <v>4789.75</v>
      </c>
      <c r="D3" s="5">
        <v>21025.84</v>
      </c>
      <c r="E3" s="5">
        <v>11100.97</v>
      </c>
      <c r="F3" s="5">
        <v>9095.66</v>
      </c>
      <c r="G3" s="5">
        <v>8185.36</v>
      </c>
      <c r="H3" s="5">
        <v>18265.400000000001</v>
      </c>
      <c r="I3" s="5">
        <v>11044.68</v>
      </c>
      <c r="J3" s="5">
        <v>10889.55</v>
      </c>
      <c r="K3" s="5">
        <v>8406.34</v>
      </c>
      <c r="L3" s="5">
        <v>18149.95</v>
      </c>
      <c r="M3" s="5">
        <v>11905.39</v>
      </c>
      <c r="N3" s="5">
        <f t="shared" ref="N3:N7" si="0">SUM(B3:M3)</f>
        <v>145446.97999999998</v>
      </c>
    </row>
    <row r="4" spans="1:27" x14ac:dyDescent="0.3">
      <c r="A4" s="4" t="s">
        <v>81</v>
      </c>
      <c r="B4" s="5">
        <v>459915.78</v>
      </c>
      <c r="C4" s="5">
        <v>397220.76</v>
      </c>
      <c r="D4" s="5">
        <v>389238.98</v>
      </c>
      <c r="E4" s="5">
        <v>505904.1</v>
      </c>
      <c r="F4" s="5">
        <v>201079.58</v>
      </c>
      <c r="G4" s="5">
        <v>378271.8</v>
      </c>
      <c r="H4" s="5">
        <v>463478.68</v>
      </c>
      <c r="I4" s="5">
        <v>511860.86</v>
      </c>
      <c r="J4" s="5">
        <v>513170.2</v>
      </c>
      <c r="K4" s="5">
        <v>525723.46</v>
      </c>
      <c r="L4" s="5">
        <v>480711.96</v>
      </c>
      <c r="M4" s="5">
        <v>428532.64</v>
      </c>
      <c r="N4" s="5">
        <f t="shared" si="0"/>
        <v>5255108.8</v>
      </c>
    </row>
    <row r="5" spans="1:27" x14ac:dyDescent="0.3">
      <c r="A5" s="4" t="s">
        <v>82</v>
      </c>
      <c r="B5" s="5">
        <v>23458.3</v>
      </c>
      <c r="C5" s="5">
        <v>42216.6</v>
      </c>
      <c r="D5" s="5">
        <v>28751.9</v>
      </c>
      <c r="E5" s="5">
        <v>39376.9</v>
      </c>
      <c r="F5" s="5">
        <v>23861.599999999999</v>
      </c>
      <c r="G5" s="5">
        <v>57216.9</v>
      </c>
      <c r="H5" s="5">
        <v>83736.7</v>
      </c>
      <c r="I5" s="5">
        <v>54053.2</v>
      </c>
      <c r="J5" s="5">
        <v>11264.5</v>
      </c>
      <c r="K5" s="5">
        <v>24215</v>
      </c>
      <c r="L5" s="5">
        <v>26860.6</v>
      </c>
      <c r="M5" s="5">
        <v>33852.699999999997</v>
      </c>
      <c r="N5" s="5">
        <f t="shared" si="0"/>
        <v>448864.89999999997</v>
      </c>
    </row>
    <row r="6" spans="1:27" x14ac:dyDescent="0.3">
      <c r="A6" s="4" t="s">
        <v>83</v>
      </c>
      <c r="B6" s="5">
        <v>4698.6499999999996</v>
      </c>
      <c r="C6" s="5">
        <v>8645</v>
      </c>
      <c r="D6" s="5">
        <v>7989.45</v>
      </c>
      <c r="E6" s="5">
        <v>6543.56</v>
      </c>
      <c r="F6" s="5">
        <v>45697.599999999999</v>
      </c>
      <c r="G6" s="5">
        <v>6943.02</v>
      </c>
      <c r="H6" s="5">
        <v>8627.7099999999991</v>
      </c>
      <c r="I6" s="5">
        <v>17194</v>
      </c>
      <c r="J6" s="5">
        <v>17242</v>
      </c>
      <c r="K6" s="5">
        <v>35167.199999999997</v>
      </c>
      <c r="L6" s="5">
        <v>6543.4</v>
      </c>
      <c r="M6" s="5">
        <v>8401.5400000000009</v>
      </c>
      <c r="N6" s="5">
        <f t="shared" si="0"/>
        <v>173693.13</v>
      </c>
    </row>
    <row r="7" spans="1:27" x14ac:dyDescent="0.3">
      <c r="A7" s="4" t="s">
        <v>84</v>
      </c>
      <c r="B7" s="5">
        <v>1033.08</v>
      </c>
      <c r="C7" s="5">
        <v>25477.94</v>
      </c>
      <c r="D7" s="5">
        <v>19497.02</v>
      </c>
      <c r="E7" s="5">
        <v>18855.900000000001</v>
      </c>
      <c r="F7" s="5">
        <v>26851.599999999999</v>
      </c>
      <c r="G7" s="5">
        <v>17468.29</v>
      </c>
      <c r="H7" s="5">
        <v>53358.239999999998</v>
      </c>
      <c r="I7" s="5">
        <v>31973.26</v>
      </c>
      <c r="J7" s="5">
        <v>28522.799999999999</v>
      </c>
      <c r="K7" s="5">
        <v>51078.26</v>
      </c>
      <c r="L7" s="5">
        <v>50149.88</v>
      </c>
      <c r="M7" s="5">
        <v>42897.42</v>
      </c>
      <c r="N7" s="5">
        <f t="shared" si="0"/>
        <v>367163.68999999994</v>
      </c>
    </row>
    <row r="8" spans="1:27" x14ac:dyDescent="0.3">
      <c r="A8" s="4" t="s">
        <v>15</v>
      </c>
      <c r="B8" s="5">
        <f t="shared" ref="B8:N8" si="1">SUM(B3:B7)</f>
        <v>501693.90000000008</v>
      </c>
      <c r="C8" s="5">
        <f t="shared" si="1"/>
        <v>478350.05</v>
      </c>
      <c r="D8" s="5">
        <f t="shared" si="1"/>
        <v>466503.19000000006</v>
      </c>
      <c r="E8" s="5">
        <f t="shared" si="1"/>
        <v>581781.43000000005</v>
      </c>
      <c r="F8" s="5">
        <f t="shared" si="1"/>
        <v>306586.03999999998</v>
      </c>
      <c r="G8" s="5">
        <f t="shared" si="1"/>
        <v>468085.37</v>
      </c>
      <c r="H8" s="5">
        <f t="shared" si="1"/>
        <v>627466.73</v>
      </c>
      <c r="I8" s="5">
        <f t="shared" si="1"/>
        <v>626126</v>
      </c>
      <c r="J8" s="5">
        <f t="shared" si="1"/>
        <v>581089.05000000005</v>
      </c>
      <c r="K8" s="5">
        <f t="shared" si="1"/>
        <v>644590.25999999989</v>
      </c>
      <c r="L8" s="5">
        <f t="shared" si="1"/>
        <v>582415.79</v>
      </c>
      <c r="M8" s="5">
        <f t="shared" si="1"/>
        <v>525589.69000000006</v>
      </c>
      <c r="N8" s="5">
        <f t="shared" si="1"/>
        <v>6390277.5</v>
      </c>
      <c r="U8" s="6"/>
      <c r="V8" s="6"/>
      <c r="W8" s="6"/>
      <c r="X8" s="6"/>
      <c r="Y8" s="6"/>
      <c r="Z8" s="6"/>
      <c r="AA8" s="6"/>
    </row>
    <row r="9" spans="1:27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x14ac:dyDescent="0.3"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x14ac:dyDescent="0.3"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</sheetData>
  <mergeCells count="13">
    <mergeCell ref="N1:N2"/>
    <mergeCell ref="M1:M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6DDFF-90F2-4E55-9E04-7233E7D937F7}">
  <dimension ref="A1:R54"/>
  <sheetViews>
    <sheetView workbookViewId="0">
      <selection activeCell="A189" activeCellId="26" sqref="A2:M9 A13:M18 A21:M21 A23:M30 A34:M39 A42:M42 A44:M51 A55:M60 A63:M63 A65:M72 A76:M81 A84:M84 A86:M93 A97:M102 A105:M105 A107:M114 A118:M123 A126:M126 A128:M135 A139:M144 A147:M147 A149:M156 A160:M165 A168:M168 A170:M177 A181:M186 A189:M189"/>
    </sheetView>
  </sheetViews>
  <sheetFormatPr defaultColWidth="8.88671875" defaultRowHeight="14.4" x14ac:dyDescent="0.3"/>
  <cols>
    <col min="1" max="1" width="14.109375" style="1" bestFit="1" customWidth="1"/>
    <col min="2" max="2" width="4.44140625" style="1" bestFit="1" customWidth="1"/>
    <col min="3" max="4" width="10.109375" style="1" bestFit="1" customWidth="1"/>
    <col min="5" max="5" width="10.44140625" style="1" bestFit="1" customWidth="1"/>
    <col min="6" max="6" width="11.109375" style="1" bestFit="1" customWidth="1"/>
    <col min="7" max="13" width="10.109375" style="1" bestFit="1" customWidth="1"/>
    <col min="14" max="16" width="8.88671875" style="1"/>
    <col min="17" max="18" width="4" style="1" bestFit="1" customWidth="1"/>
    <col min="19" max="16384" width="8.88671875" style="1"/>
  </cols>
  <sheetData>
    <row r="1" spans="1:18" x14ac:dyDescent="0.3">
      <c r="A1" s="3">
        <f>'Konstanta a'!A1</f>
        <v>0.1</v>
      </c>
      <c r="B1" s="3" t="str">
        <f>'Konstanta a'!B1</f>
        <v>T1</v>
      </c>
      <c r="C1" s="3" t="str">
        <f>'Konstanta a'!C1</f>
        <v>T2</v>
      </c>
      <c r="D1" s="3" t="str">
        <f>'Konstanta a'!D1</f>
        <v>T3</v>
      </c>
      <c r="E1" s="3" t="str">
        <f>'Konstanta a'!E1</f>
        <v>T4</v>
      </c>
      <c r="F1" s="3" t="str">
        <f>'Konstanta a'!F1</f>
        <v>T5</v>
      </c>
      <c r="G1" s="3" t="str">
        <f>'Konstanta a'!G1</f>
        <v>T6</v>
      </c>
      <c r="H1" s="3" t="str">
        <f>'Konstanta a'!H1</f>
        <v>T7</v>
      </c>
      <c r="I1" s="3" t="str">
        <f>'Konstanta a'!I1</f>
        <v>T8</v>
      </c>
      <c r="J1" s="3" t="str">
        <f>'Konstanta a'!J1</f>
        <v>T9</v>
      </c>
      <c r="K1" s="3" t="str">
        <f>'Konstanta a'!K1</f>
        <v>T10</v>
      </c>
      <c r="L1" s="3" t="str">
        <f>'Konstanta a'!L1</f>
        <v>T11</v>
      </c>
      <c r="M1" s="3" t="str">
        <f>'Konstanta a'!M1</f>
        <v>T12</v>
      </c>
      <c r="Q1" s="1">
        <v>0.1</v>
      </c>
      <c r="R1" s="1">
        <f>1-0.1</f>
        <v>0.9</v>
      </c>
    </row>
    <row r="2" spans="1:18" x14ac:dyDescent="0.3">
      <c r="A2" s="3" t="str">
        <f>'Konstanta a'!A2</f>
        <v>Oil A 20 LT</v>
      </c>
      <c r="B2" s="7">
        <f>($Q$1/$R$1)*('Single Exponen'!B2-'Double Exponen'!B2)</f>
        <v>0</v>
      </c>
      <c r="C2" s="7">
        <f>($Q$1/$R$1)*('Single Exponen'!C2-'Double Exponen'!C2)</f>
        <v>-77.983399999999975</v>
      </c>
      <c r="D2" s="7">
        <f>($Q$1/$R$1)*('Single Exponen'!D2-'Double Exponen'!D2)</f>
        <v>21.990780000000086</v>
      </c>
      <c r="E2" s="7">
        <f>($Q$1/$R$1)*('Single Exponen'!E2-'Double Exponen'!E2)</f>
        <v>3.5012580000000324</v>
      </c>
      <c r="F2" s="7">
        <f>($Q$1/$R$1)*('Single Exponen'!F2-'Double Exponen'!F2)</f>
        <v>-31.563367400000065</v>
      </c>
      <c r="G2" s="7">
        <f>($Q$1/$R$1)*('Single Exponen'!G2-'Double Exponen'!G2)</f>
        <v>-68.753080300000065</v>
      </c>
      <c r="H2" s="7">
        <f>($Q$1/$R$1)*('Single Exponen'!H2-'Double Exponen'!H2)</f>
        <v>2.6111830540000183</v>
      </c>
      <c r="I2" s="7">
        <f>($Q$1/$R$1)*('Single Exponen'!I2-'Double Exponen'!I2)</f>
        <v>-11.817075459799931</v>
      </c>
      <c r="J2" s="7">
        <f>($Q$1/$R$1)*('Single Exponen'!J2-'Double Exponen'!J2)</f>
        <v>-24.937094101380154</v>
      </c>
      <c r="K2" s="7">
        <f>($Q$1/$R$1)*('Single Exponen'!K2-'Double Exponen'!K2)</f>
        <v>-60.147038260046131</v>
      </c>
      <c r="L2" s="7">
        <f>($Q$1/$R$1)*('Single Exponen'!L2-'Double Exponen'!L2)</f>
        <v>9.3704773540349482</v>
      </c>
      <c r="M2" s="7">
        <f>($Q$1/$R$1)*('Single Exponen'!M2-'Double Exponen'!M2)</f>
        <v>3.1403602279001968</v>
      </c>
      <c r="Q2" s="1">
        <f>+Q1+0.1</f>
        <v>0.2</v>
      </c>
      <c r="R2" s="1">
        <f>1-Q2</f>
        <v>0.8</v>
      </c>
    </row>
    <row r="3" spans="1:18" x14ac:dyDescent="0.3">
      <c r="A3" s="3" t="str">
        <f>'Konstanta a'!A3</f>
        <v>Oil A 200 LT</v>
      </c>
      <c r="B3" s="7">
        <f>($Q$1/$R$1)*('Single Exponen'!B3-'Double Exponen'!B3)</f>
        <v>0</v>
      </c>
      <c r="C3" s="7">
        <f>($Q$1/$R$1)*('Single Exponen'!C3-'Double Exponen'!C3)</f>
        <v>-626.95020000000181</v>
      </c>
      <c r="D3" s="7">
        <f>($Q$1/$R$1)*('Single Exponen'!D3-'Double Exponen'!D3)</f>
        <v>-1208.328160000008</v>
      </c>
      <c r="E3" s="7">
        <f>($Q$1/$R$1)*('Single Exponen'!E3-'Double Exponen'!E3)</f>
        <v>-500.50982600000378</v>
      </c>
      <c r="F3" s="7">
        <f>($Q$1/$R$1)*('Single Exponen'!F3-'Double Exponen'!F3)</f>
        <v>-2970.4170772000025</v>
      </c>
      <c r="G3" s="7">
        <f>($Q$1/$R$1)*('Single Exponen'!G3-'Double Exponen'!G3)</f>
        <v>-3169.4155799000036</v>
      </c>
      <c r="H3" s="7">
        <f>($Q$1/$R$1)*('Single Exponen'!H3-'Double Exponen'!H3)</f>
        <v>-2446.8414112880064</v>
      </c>
      <c r="I3" s="7">
        <f>($Q$1/$R$1)*('Single Exponen'!I3-'Double Exponen'!I3)</f>
        <v>-1353.2661205994018</v>
      </c>
      <c r="J3" s="7">
        <f>($Q$1/$R$1)*('Single Exponen'!J3-'Double Exponen'!J3)</f>
        <v>-440.84407393564476</v>
      </c>
      <c r="K3" s="7">
        <f>($Q$1/$R$1)*('Single Exponen'!K3-'Double Exponen'!K3)</f>
        <v>428.15882460135941</v>
      </c>
      <c r="L3" s="7">
        <f>($Q$1/$R$1)*('Single Exponen'!L3-'Double Exponen'!L3)</f>
        <v>677.65458417031914</v>
      </c>
      <c r="M3" s="7">
        <f>($Q$1/$R$1)*('Single Exponen'!M3-'Double Exponen'!M3)</f>
        <v>351.17640357947033</v>
      </c>
      <c r="Q3" s="1">
        <f t="shared" ref="Q3:Q9" si="0">+Q2+0.1</f>
        <v>0.30000000000000004</v>
      </c>
      <c r="R3" s="1">
        <f t="shared" ref="R3:R9" si="1">1-Q3</f>
        <v>0.7</v>
      </c>
    </row>
    <row r="4" spans="1:18" x14ac:dyDescent="0.3">
      <c r="A4" s="3" t="str">
        <f>'Konstanta a'!A4</f>
        <v>Oil A 1000 LT</v>
      </c>
      <c r="B4" s="7">
        <f>($Q$1/$R$1)*('Single Exponen'!B4-'Double Exponen'!B4)</f>
        <v>0</v>
      </c>
      <c r="C4" s="7">
        <f>($Q$1/$R$1)*('Single Exponen'!C4-'Double Exponen'!C4)</f>
        <v>187.58299999999994</v>
      </c>
      <c r="D4" s="7">
        <f>($Q$1/$R$1)*('Single Exponen'!D4-'Double Exponen'!D4)</f>
        <v>203.00239999999962</v>
      </c>
      <c r="E4" s="7">
        <f>($Q$1/$R$1)*('Single Exponen'!E4-'Double Exponen'!E4)</f>
        <v>319.71208999999971</v>
      </c>
      <c r="F4" s="7">
        <f>($Q$1/$R$1)*('Single Exponen'!F4-'Double Exponen'!F4)</f>
        <v>255.89681799999948</v>
      </c>
      <c r="G4" s="7">
        <f>($Q$1/$R$1)*('Single Exponen'!G4-'Double Exponen'!G4)</f>
        <v>535.2004794999998</v>
      </c>
      <c r="H4" s="7">
        <f>($Q$1/$R$1)*('Single Exponen'!H4-'Double Exponen'!H4)</f>
        <v>1021.2824405200001</v>
      </c>
      <c r="I4" s="7">
        <f>($Q$1/$R$1)*('Single Exponen'!I4-'Double Exponen'!I4)</f>
        <v>1107.9610045410002</v>
      </c>
      <c r="J4" s="7">
        <f>($Q$1/$R$1)*('Single Exponen'!J4-'Double Exponen'!J4)</f>
        <v>739.20403135259971</v>
      </c>
      <c r="K4" s="7">
        <f>($Q$1/$R$1)*('Single Exponen'!K4-'Double Exponen'!K4)</f>
        <v>562.62384275647014</v>
      </c>
      <c r="L4" s="7">
        <f>($Q$1/$R$1)*('Single Exponen'!L4-'Double Exponen'!L4)</f>
        <v>440.42365156603978</v>
      </c>
      <c r="M4" s="7">
        <f>($Q$1/$R$1)*('Single Exponen'!M4-'Double Exponen'!M4)</f>
        <v>406.95826018613099</v>
      </c>
      <c r="Q4" s="1">
        <f t="shared" si="0"/>
        <v>0.4</v>
      </c>
      <c r="R4" s="1">
        <f t="shared" si="1"/>
        <v>0.6</v>
      </c>
    </row>
    <row r="5" spans="1:18" x14ac:dyDescent="0.3">
      <c r="A5" s="3" t="str">
        <f>'Konstanta a'!A5</f>
        <v>Oil B 20 LT</v>
      </c>
      <c r="B5" s="7">
        <f>($Q$1/$R$1)*('Single Exponen'!B5-'Double Exponen'!B5)</f>
        <v>0</v>
      </c>
      <c r="C5" s="7">
        <f>($Q$1/$R$1)*('Single Exponen'!C5-'Double Exponen'!C5)</f>
        <v>39.463500000000046</v>
      </c>
      <c r="D5" s="7">
        <f>($Q$1/$R$1)*('Single Exponen'!D5-'Double Exponen'!D5)</f>
        <v>64.478800000000078</v>
      </c>
      <c r="E5" s="7">
        <f>($Q$1/$R$1)*('Single Exponen'!E5-'Double Exponen'!E5)</f>
        <v>69.637505000000004</v>
      </c>
      <c r="F5" s="7">
        <f>($Q$1/$R$1)*('Single Exponen'!F5-'Double Exponen'!F5)</f>
        <v>464.66008099999993</v>
      </c>
      <c r="G5" s="7">
        <f>($Q$1/$R$1)*('Single Exponen'!G5-'Double Exponen'!G5)</f>
        <v>392.43596674999998</v>
      </c>
      <c r="H5" s="7">
        <f>($Q$1/$R$1)*('Single Exponen'!H5-'Double Exponen'!H5)</f>
        <v>346.85697454000001</v>
      </c>
      <c r="I5" s="7">
        <f>($Q$1/$R$1)*('Single Exponen'!I5-'Double Exponen'!I5)</f>
        <v>392.13232110450002</v>
      </c>
      <c r="J5" s="7">
        <f>($Q$1/$R$1)*('Single Exponen'!J5-'Double Exponen'!J5)</f>
        <v>425.36402861070013</v>
      </c>
      <c r="K5" s="7">
        <f>($Q$1/$R$1)*('Single Exponen'!K5-'Double Exponen'!K5)</f>
        <v>627.280071404615</v>
      </c>
      <c r="L5" s="7">
        <f>($Q$1/$R$1)*('Single Exponen'!L5-'Double Exponen'!L5)</f>
        <v>498.32126535363994</v>
      </c>
      <c r="M5" s="7">
        <f>($Q$1/$R$1)*('Single Exponen'!M5-'Double Exponen'!M5)</f>
        <v>407.46281979881377</v>
      </c>
      <c r="Q5" s="1">
        <f t="shared" si="0"/>
        <v>0.5</v>
      </c>
      <c r="R5" s="1">
        <f t="shared" si="1"/>
        <v>0.5</v>
      </c>
    </row>
    <row r="6" spans="1:18" x14ac:dyDescent="0.3">
      <c r="A6" s="3" t="str">
        <f>'Konstanta a'!A6</f>
        <v>Oil B 200 LT</v>
      </c>
      <c r="B6" s="7">
        <f>($Q$1/$R$1)*('Single Exponen'!B6-'Double Exponen'!B6)</f>
        <v>0</v>
      </c>
      <c r="C6" s="7">
        <f>($Q$1/$R$1)*('Single Exponen'!C6-'Double Exponen'!C6)</f>
        <v>244.44860000000003</v>
      </c>
      <c r="D6" s="7">
        <f>($Q$1/$R$1)*('Single Exponen'!D6-'Double Exponen'!D6)</f>
        <v>380.19828000000007</v>
      </c>
      <c r="E6" s="7">
        <f>($Q$1/$R$1)*('Single Exponen'!E6-'Double Exponen'!E6)</f>
        <v>479.94233800000006</v>
      </c>
      <c r="F6" s="7">
        <f>($Q$1/$R$1)*('Single Exponen'!F6-'Double Exponen'!F6)</f>
        <v>635.89260160000003</v>
      </c>
      <c r="G6" s="7">
        <f>($Q$1/$R$1)*('Single Exponen'!G6-'Double Exponen'!G6)</f>
        <v>662.02028910000001</v>
      </c>
      <c r="H6" s="7">
        <f>($Q$1/$R$1)*('Single Exponen'!H6-'Double Exponen'!H6)</f>
        <v>1035.4630130840003</v>
      </c>
      <c r="I6" s="7">
        <f>($Q$1/$R$1)*('Single Exponen'!I6-'Double Exponen'!I6)</f>
        <v>1113.7471893802003</v>
      </c>
      <c r="J6" s="7">
        <f>($Q$1/$R$1)*('Single Exponen'!J6-'Double Exponen'!J6)</f>
        <v>1131.5153002863203</v>
      </c>
      <c r="K6" s="7">
        <f>($Q$1/$R$1)*('Single Exponen'!K6-'Double Exponen'!K6)</f>
        <v>1360.1469171174142</v>
      </c>
      <c r="L6" s="7">
        <f>($Q$1/$R$1)*('Single Exponen'!L6-'Double Exponen'!L6)</f>
        <v>1522.4532575794265</v>
      </c>
      <c r="M6" s="7">
        <f>($Q$1/$R$1)*('Single Exponen'!M6-'Double Exponen'!M6)</f>
        <v>1566.1722607778618</v>
      </c>
      <c r="Q6" s="1">
        <f t="shared" si="0"/>
        <v>0.6</v>
      </c>
      <c r="R6" s="1">
        <f t="shared" si="1"/>
        <v>0.4</v>
      </c>
    </row>
    <row r="7" spans="1:18" x14ac:dyDescent="0.3">
      <c r="A7" s="1">
        <f>'Konstanta a'!A7</f>
        <v>0.2</v>
      </c>
      <c r="B7" s="1" t="str">
        <f>'Konstanta a'!B7</f>
        <v>T1</v>
      </c>
      <c r="C7" s="1" t="str">
        <f>'Konstanta a'!C7</f>
        <v>T2</v>
      </c>
      <c r="D7" s="1" t="str">
        <f>'Konstanta a'!D7</f>
        <v>T3</v>
      </c>
      <c r="E7" s="1" t="str">
        <f>'Konstanta a'!E7</f>
        <v>T4</v>
      </c>
      <c r="F7" s="1" t="str">
        <f>'Konstanta a'!F7</f>
        <v>T5</v>
      </c>
      <c r="G7" s="1" t="str">
        <f>'Konstanta a'!G7</f>
        <v>T6</v>
      </c>
      <c r="H7" s="1" t="str">
        <f>'Konstanta a'!H7</f>
        <v>T7</v>
      </c>
      <c r="I7" s="1" t="str">
        <f>'Konstanta a'!I7</f>
        <v>T8</v>
      </c>
      <c r="J7" s="1" t="str">
        <f>'Konstanta a'!J7</f>
        <v>T9</v>
      </c>
      <c r="K7" s="1" t="str">
        <f>'Konstanta a'!K7</f>
        <v>T10</v>
      </c>
      <c r="L7" s="1" t="str">
        <f>'Konstanta a'!L7</f>
        <v>T11</v>
      </c>
      <c r="M7" s="1" t="str">
        <f>'Konstanta a'!M7</f>
        <v>T12</v>
      </c>
      <c r="Q7" s="1">
        <f t="shared" si="0"/>
        <v>0.7</v>
      </c>
      <c r="R7" s="1">
        <f t="shared" si="1"/>
        <v>0.30000000000000004</v>
      </c>
    </row>
    <row r="8" spans="1:18" x14ac:dyDescent="0.3">
      <c r="A8" s="1" t="str">
        <f>'Konstanta a'!A8</f>
        <v>Oil A 20 LT</v>
      </c>
      <c r="B8" s="6">
        <f>($Q$2/$R$2)*('Single Exponen'!B8-'Double Exponen'!B8)</f>
        <v>0</v>
      </c>
      <c r="C8" s="6">
        <f>($Q$2/$R$2)*('Single Exponen'!C8-'Double Exponen'!C8)</f>
        <v>-311.93359999999984</v>
      </c>
      <c r="D8" s="6">
        <f>($Q$2/$R$2)*('Single Exponen'!D8-'Double Exponen'!D8)</f>
        <v>150.34983999999986</v>
      </c>
      <c r="E8" s="6">
        <f>($Q$2/$R$2)*('Single Exponen'!E8-'Double Exponen'!E8)</f>
        <v>43.202448000000004</v>
      </c>
      <c r="F8" s="6">
        <f>($Q$2/$R$2)*('Single Exponen'!F8-'Double Exponen'!F8)</f>
        <v>-107.31238080000003</v>
      </c>
      <c r="G8" s="6">
        <f>($Q$2/$R$2)*('Single Exponen'!G8-'Double Exponen'!G8)</f>
        <v>-235.76137600000038</v>
      </c>
      <c r="H8" s="6">
        <f>($Q$2/$R$2)*('Single Exponen'!H8-'Double Exponen'!H8)</f>
        <v>94.663322111999605</v>
      </c>
      <c r="I8" s="6">
        <f>($Q$2/$R$2)*('Single Exponen'!I8-'Double Exponen'!I8)</f>
        <v>13.519796019199475</v>
      </c>
      <c r="J8" s="6">
        <f>($Q$2/$R$2)*('Single Exponen'!J8-'Double Exponen'!J8)</f>
        <v>-45.158052520960609</v>
      </c>
      <c r="K8" s="6">
        <f>($Q$2/$R$2)*('Single Exponen'!K8-'Double Exponen'!K8)</f>
        <v>-180.23395348582471</v>
      </c>
      <c r="L8" s="6">
        <f>($Q$2/$R$2)*('Single Exponen'!L8-'Double Exponen'!L8)</f>
        <v>130.27122803609518</v>
      </c>
      <c r="M8" s="6">
        <f>($Q$2/$R$2)*('Single Exponen'!M8-'Double Exponen'!M8)</f>
        <v>74.001295088680308</v>
      </c>
      <c r="Q8" s="1">
        <f t="shared" si="0"/>
        <v>0.79999999999999993</v>
      </c>
      <c r="R8" s="1">
        <f t="shared" si="1"/>
        <v>0.20000000000000007</v>
      </c>
    </row>
    <row r="9" spans="1:18" x14ac:dyDescent="0.3">
      <c r="A9" s="1" t="str">
        <f>'Konstanta a'!A9</f>
        <v>Oil A 200 LT</v>
      </c>
      <c r="B9" s="6">
        <f>($Q$2/$R$2)*('Single Exponen'!B9-'Double Exponen'!B9)</f>
        <v>0</v>
      </c>
      <c r="C9" s="6">
        <f>($Q$2/$R$2)*('Single Exponen'!C9-'Double Exponen'!C9)</f>
        <v>-2507.8007999999973</v>
      </c>
      <c r="D9" s="6">
        <f>($Q$2/$R$2)*('Single Exponen'!D9-'Double Exponen'!D9)</f>
        <v>-4331.7524800000101</v>
      </c>
      <c r="E9" s="6">
        <f>($Q$2/$R$2)*('Single Exponen'!E9-'Double Exponen'!E9)</f>
        <v>-659.20665600000939</v>
      </c>
      <c r="F9" s="6">
        <f>($Q$2/$R$2)*('Single Exponen'!F9-'Double Exponen'!F9)</f>
        <v>-10475.389862399999</v>
      </c>
      <c r="G9" s="6">
        <f>($Q$2/$R$2)*('Single Exponen'!G9-'Double Exponen'!G9)</f>
        <v>-9251.0427200000122</v>
      </c>
      <c r="H9" s="6">
        <f>($Q$2/$R$2)*('Single Exponen'!H9-'Double Exponen'!H9)</f>
        <v>-4689.1436400640232</v>
      </c>
      <c r="I9" s="6">
        <f>($Q$2/$R$2)*('Single Exponen'!I9-'Double Exponen'!I9)</f>
        <v>353.32471669757797</v>
      </c>
      <c r="J9" s="6">
        <f>($Q$2/$R$2)*('Single Exponen'!J9-'Double Exponen'!J9)</f>
        <v>3618.7450763570814</v>
      </c>
      <c r="K9" s="6">
        <f>($Q$2/$R$2)*('Single Exponen'!K9-'Double Exponen'!K9)</f>
        <v>6065.9947034848883</v>
      </c>
      <c r="L9" s="6">
        <f>($Q$2/$R$2)*('Single Exponen'!L9-'Double Exponen'!L9)</f>
        <v>5589.1346767072828</v>
      </c>
      <c r="M9" s="6">
        <f>($Q$2/$R$2)*('Single Exponen'!M9-'Double Exponen'!M9)</f>
        <v>2973.2060725013289</v>
      </c>
      <c r="Q9" s="1">
        <f t="shared" si="0"/>
        <v>0.89999999999999991</v>
      </c>
      <c r="R9" s="1">
        <f t="shared" si="1"/>
        <v>0.10000000000000009</v>
      </c>
    </row>
    <row r="10" spans="1:18" x14ac:dyDescent="0.3">
      <c r="A10" s="1" t="str">
        <f>'Konstanta a'!A10</f>
        <v>Oil A 1000 LT</v>
      </c>
      <c r="B10" s="6">
        <f>($Q$2/$R$2)*('Single Exponen'!B10-'Double Exponen'!B10)</f>
        <v>0</v>
      </c>
      <c r="C10" s="6">
        <f>($Q$2/$R$2)*('Single Exponen'!C10-'Double Exponen'!C10)</f>
        <v>750.33200000000033</v>
      </c>
      <c r="D10" s="6">
        <f>($Q$2/$R$2)*('Single Exponen'!D10-'Double Exponen'!D10)</f>
        <v>661.94320000000062</v>
      </c>
      <c r="E10" s="6">
        <f>($Q$2/$R$2)*('Single Exponen'!E10-'Double Exponen'!E10)</f>
        <v>1003.8966399999999</v>
      </c>
      <c r="F10" s="6">
        <f>($Q$2/$R$2)*('Single Exponen'!F10-'Double Exponen'!F10)</f>
        <v>561.97897600000033</v>
      </c>
      <c r="G10" s="6">
        <f>($Q$2/$R$2)*('Single Exponen'!G10-'Double Exponen'!G10)</f>
        <v>1590.8845119999996</v>
      </c>
      <c r="H10" s="6">
        <f>($Q$2/$R$2)*('Single Exponen'!H10-'Double Exponen'!H10)</f>
        <v>3246.5406745599994</v>
      </c>
      <c r="I10" s="6">
        <f>($Q$2/$R$2)*('Single Exponen'!I10-'Double Exponen'!I10)</f>
        <v>2988.9589916159985</v>
      </c>
      <c r="J10" s="6">
        <f>($Q$2/$R$2)*('Single Exponen'!J10-'Double Exponen'!J10)</f>
        <v>993.00035486719935</v>
      </c>
      <c r="K10" s="6">
        <f>($Q$2/$R$2)*('Single Exponen'!K10-'Double Exponen'!K10)</f>
        <v>193.88681315327995</v>
      </c>
      <c r="L10" s="6">
        <f>($Q$2/$R$2)*('Single Exponen'!L10-'Double Exponen'!L10)</f>
        <v>-219.47732606976024</v>
      </c>
      <c r="M10" s="6">
        <f>($Q$2/$R$2)*('Single Exponen'!M10-'Double Exponen'!M10)</f>
        <v>-195.56728212971575</v>
      </c>
    </row>
    <row r="11" spans="1:18" x14ac:dyDescent="0.3">
      <c r="A11" s="1" t="str">
        <f>'Konstanta a'!A11</f>
        <v>Oil B 20 LT</v>
      </c>
      <c r="B11" s="6">
        <f>($Q$2/$R$2)*('Single Exponen'!B11-'Double Exponen'!B11)</f>
        <v>0</v>
      </c>
      <c r="C11" s="6">
        <f>($Q$2/$R$2)*('Single Exponen'!C11-'Double Exponen'!C11)</f>
        <v>157.85400000000004</v>
      </c>
      <c r="D11" s="6">
        <f>($Q$2/$R$2)*('Single Exponen'!D11-'Double Exponen'!D11)</f>
        <v>226.34440000000018</v>
      </c>
      <c r="E11" s="6">
        <f>($Q$2/$R$2)*('Single Exponen'!E11-'Double Exponen'!E11)</f>
        <v>203.28888000000006</v>
      </c>
      <c r="F11" s="6">
        <f>($Q$2/$R$2)*('Single Exponen'!F11-'Double Exponen'!F11)</f>
        <v>1746.5633920000002</v>
      </c>
      <c r="G11" s="6">
        <f>($Q$2/$R$2)*('Single Exponen'!G11-'Double Exponen'!G11)</f>
        <v>1114.2133439999998</v>
      </c>
      <c r="H11" s="6">
        <f>($Q$2/$R$2)*('Single Exponen'!H11-'Double Exponen'!H11)</f>
        <v>732.32837951999954</v>
      </c>
      <c r="I11" s="6">
        <f>($Q$2/$R$2)*('Single Exponen'!I11-'Double Exponen'!I11)</f>
        <v>801.28046707199974</v>
      </c>
      <c r="J11" s="6">
        <f>($Q$2/$R$2)*('Single Exponen'!J11-'Double Exponen'!J11)</f>
        <v>815.27858442239994</v>
      </c>
      <c r="K11" s="6">
        <f>($Q$2/$R$2)*('Single Exponen'!K11-'Double Exponen'!K11)</f>
        <v>1508.63423614976</v>
      </c>
      <c r="L11" s="6">
        <f>($Q$2/$R$2)*('Single Exponen'!L11-'Double Exponen'!L11)</f>
        <v>747.0844838092803</v>
      </c>
      <c r="M11" s="6">
        <f>($Q$2/$R$2)*('Single Exponen'!M11-'Double Exponen'!M11)</f>
        <v>304.13486295900157</v>
      </c>
    </row>
    <row r="12" spans="1:18" x14ac:dyDescent="0.3">
      <c r="A12" s="1" t="str">
        <f>'Konstanta a'!A12</f>
        <v>Oil B 200 LT</v>
      </c>
      <c r="B12" s="6">
        <f>($Q$2/$R$2)*('Single Exponen'!B12-'Double Exponen'!B12)</f>
        <v>0</v>
      </c>
      <c r="C12" s="6">
        <f>($Q$2/$R$2)*('Single Exponen'!C12-'Double Exponen'!C12)</f>
        <v>977.7944</v>
      </c>
      <c r="D12" s="6">
        <f>($Q$2/$R$2)*('Single Exponen'!D12-'Double Exponen'!D12)</f>
        <v>1325.2342400000002</v>
      </c>
      <c r="E12" s="6">
        <f>($Q$2/$R$2)*('Single Exponen'!E12-'Double Exponen'!E12)</f>
        <v>1468.9415680000002</v>
      </c>
      <c r="F12" s="6">
        <f>($Q$2/$R$2)*('Single Exponen'!F12-'Double Exponen'!F12)</f>
        <v>1821.9845952000001</v>
      </c>
      <c r="G12" s="6">
        <f>($Q$2/$R$2)*('Single Exponen'!G12-'Double Exponen'!G12)</f>
        <v>1599.7203487999996</v>
      </c>
      <c r="H12" s="6">
        <f>($Q$2/$R$2)*('Single Exponen'!H12-'Double Exponen'!H12)</f>
        <v>2829.0804171520003</v>
      </c>
      <c r="I12" s="6">
        <f>($Q$2/$R$2)*('Single Exponen'!I12-'Double Exponen'!I12)</f>
        <v>2647.3084442112004</v>
      </c>
      <c r="J12" s="6">
        <f>($Q$2/$R$2)*('Single Exponen'!J12-'Double Exponen'!J12)</f>
        <v>2287.0636437606408</v>
      </c>
      <c r="K12" s="6">
        <f>($Q$2/$R$2)*('Single Exponen'!K12-'Double Exponen'!K12)</f>
        <v>2867.2428257218571</v>
      </c>
      <c r="L12" s="6">
        <f>($Q$2/$R$2)*('Single Exponen'!L12-'Double Exponen'!L12)</f>
        <v>3086.7325891481614</v>
      </c>
      <c r="M12" s="6">
        <f>($Q$2/$R$2)*('Single Exponen'!M12-'Double Exponen'!M12)</f>
        <v>2813.6383341750679</v>
      </c>
    </row>
    <row r="13" spans="1:18" x14ac:dyDescent="0.3">
      <c r="A13" s="1">
        <f>'Konstanta a'!A13</f>
        <v>0.3</v>
      </c>
      <c r="B13" s="1" t="str">
        <f>'Konstanta a'!B13</f>
        <v>T1</v>
      </c>
      <c r="C13" s="1" t="str">
        <f>'Konstanta a'!C13</f>
        <v>T2</v>
      </c>
      <c r="D13" s="1" t="str">
        <f>'Konstanta a'!D13</f>
        <v>T3</v>
      </c>
      <c r="E13" s="1" t="str">
        <f>'Konstanta a'!E13</f>
        <v>T4</v>
      </c>
      <c r="F13" s="1" t="str">
        <f>'Konstanta a'!F13</f>
        <v>T5</v>
      </c>
      <c r="G13" s="1" t="str">
        <f>'Konstanta a'!G13</f>
        <v>T6</v>
      </c>
      <c r="H13" s="1" t="str">
        <f>'Konstanta a'!H13</f>
        <v>T7</v>
      </c>
      <c r="I13" s="1" t="str">
        <f>'Konstanta a'!I13</f>
        <v>T8</v>
      </c>
      <c r="J13" s="1" t="str">
        <f>'Konstanta a'!J13</f>
        <v>T9</v>
      </c>
      <c r="K13" s="1" t="str">
        <f>'Konstanta a'!K13</f>
        <v>T10</v>
      </c>
      <c r="L13" s="1" t="str">
        <f>'Konstanta a'!L13</f>
        <v>T11</v>
      </c>
      <c r="M13" s="1" t="str">
        <f>'Konstanta a'!M13</f>
        <v>T12</v>
      </c>
    </row>
    <row r="14" spans="1:18" x14ac:dyDescent="0.3">
      <c r="A14" s="1" t="str">
        <f>'Konstanta a'!A14</f>
        <v>Oil A 20 LT</v>
      </c>
      <c r="B14" s="6">
        <f>($Q$3/$R$3)*('Single Exponen'!B14-'Double Exponen'!B14)</f>
        <v>0</v>
      </c>
      <c r="C14" s="6">
        <f>($Q$3/$R$3)*('Single Exponen'!C14-'Double Exponen'!C14)</f>
        <v>-701.85059999999964</v>
      </c>
      <c r="D14" s="6">
        <f>($Q$3/$R$3)*('Single Exponen'!D14-'Double Exponen'!D14)</f>
        <v>478.6572600000008</v>
      </c>
      <c r="E14" s="6">
        <f>($Q$3/$R$3)*('Single Exponen'!E14-'Double Exponen'!E14)</f>
        <v>120.78865800000055</v>
      </c>
      <c r="F14" s="6">
        <f>($Q$3/$R$3)*('Single Exponen'!F14-'Double Exponen'!F14)</f>
        <v>-245.91583619999935</v>
      </c>
      <c r="G14" s="6">
        <f>($Q$3/$R$3)*('Single Exponen'!G14-'Double Exponen'!G14)</f>
        <v>-485.39561309999914</v>
      </c>
      <c r="H14" s="6">
        <f>($Q$3/$R$3)*('Single Exponen'!H14-'Double Exponen'!H14)</f>
        <v>348.14850139800114</v>
      </c>
      <c r="I14" s="6">
        <f>($Q$3/$R$3)*('Single Exponen'!I14-'Double Exponen'!I14)</f>
        <v>75.386952376201293</v>
      </c>
      <c r="J14" s="6">
        <f>($Q$3/$R$3)*('Single Exponen'!J14-'Double Exponen'!J14)</f>
        <v>-79.012732358339122</v>
      </c>
      <c r="K14" s="6">
        <f>($Q$3/$R$3)*('Single Exponen'!K14-'Double Exponen'!K14)</f>
        <v>-371.04633196601321</v>
      </c>
      <c r="L14" s="6">
        <f>($Q$3/$R$3)*('Single Exponen'!L14-'Double Exponen'!L14)</f>
        <v>396.17627410316794</v>
      </c>
      <c r="M14" s="6">
        <f>($Q$3/$R$3)*('Single Exponen'!M14-'Double Exponen'!M14)</f>
        <v>174.44908640778186</v>
      </c>
    </row>
    <row r="15" spans="1:18" x14ac:dyDescent="0.3">
      <c r="A15" s="1" t="str">
        <f>'Konstanta a'!A15</f>
        <v>Oil A 200 LT</v>
      </c>
      <c r="B15" s="6">
        <f>($Q$3/$R$3)*('Single Exponen'!B15-'Double Exponen'!B15)</f>
        <v>0</v>
      </c>
      <c r="C15" s="6">
        <f>($Q$3/$R$3)*('Single Exponen'!C15-'Double Exponen'!C15)</f>
        <v>-5642.551799999992</v>
      </c>
      <c r="D15" s="6">
        <f>($Q$3/$R$3)*('Single Exponen'!D15-'Double Exponen'!D15)</f>
        <v>-8617.9327199999843</v>
      </c>
      <c r="E15" s="6">
        <f>($Q$3/$R$3)*('Single Exponen'!E15-'Double Exponen'!E15)</f>
        <v>1199.6053740000355</v>
      </c>
      <c r="F15" s="6">
        <f>($Q$3/$R$3)*('Single Exponen'!F15-'Double Exponen'!F15)</f>
        <v>-21531.972243599979</v>
      </c>
      <c r="G15" s="6">
        <f>($Q$3/$R$3)*('Single Exponen'!G15-'Double Exponen'!G15)</f>
        <v>-14785.267974299981</v>
      </c>
      <c r="H15" s="6">
        <f>($Q$3/$R$3)*('Single Exponen'!H15-'Double Exponen'!H15)</f>
        <v>-2480.0895646559411</v>
      </c>
      <c r="I15" s="6">
        <f>($Q$3/$R$3)*('Single Exponen'!I15-'Double Exponen'!I15)</f>
        <v>8127.0521168886771</v>
      </c>
      <c r="J15" s="6">
        <f>($Q$3/$R$3)*('Single Exponen'!J15-'Double Exponen'!J15)</f>
        <v>12710.95745032557</v>
      </c>
      <c r="K15" s="6">
        <f>($Q$3/$R$3)*('Single Exponen'!K15-'Double Exponen'!K15)</f>
        <v>14942.878293180325</v>
      </c>
      <c r="L15" s="6">
        <f>($Q$3/$R$3)*('Single Exponen'!L15-'Double Exponen'!L15)</f>
        <v>10640.625459792942</v>
      </c>
      <c r="M15" s="6">
        <f>($Q$3/$R$3)*('Single Exponen'!M15-'Double Exponen'!M15)</f>
        <v>2878.726480051751</v>
      </c>
    </row>
    <row r="16" spans="1:18" x14ac:dyDescent="0.3">
      <c r="A16" s="1" t="str">
        <f>'Konstanta a'!A16</f>
        <v>Oil A 1000 LT</v>
      </c>
      <c r="B16" s="6">
        <f>($Q$3/$R$3)*('Single Exponen'!B16-'Double Exponen'!B16)</f>
        <v>0</v>
      </c>
      <c r="C16" s="6">
        <f>($Q$3/$R$3)*('Single Exponen'!C16-'Double Exponen'!C16)</f>
        <v>1688.2470000000012</v>
      </c>
      <c r="D16" s="6">
        <f>($Q$3/$R$3)*('Single Exponen'!D16-'Double Exponen'!D16)</f>
        <v>1151.7228000000023</v>
      </c>
      <c r="E16" s="6">
        <f>($Q$3/$R$3)*('Single Exponen'!E16-'Double Exponen'!E16)</f>
        <v>1741.4208900000031</v>
      </c>
      <c r="F16" s="6">
        <f>($Q$3/$R$3)*('Single Exponen'!F16-'Double Exponen'!F16)</f>
        <v>477.26807400000337</v>
      </c>
      <c r="G16" s="6">
        <f>($Q$3/$R$3)*('Single Exponen'!G16-'Double Exponen'!G16)</f>
        <v>2816.8560675000049</v>
      </c>
      <c r="H16" s="6">
        <f>($Q$3/$R$3)*('Single Exponen'!H16-'Double Exponen'!H16)</f>
        <v>6096.5191382400062</v>
      </c>
      <c r="I16" s="6">
        <f>($Q$3/$R$3)*('Single Exponen'!I16-'Double Exponen'!I16)</f>
        <v>4483.3523204610028</v>
      </c>
      <c r="J16" s="6">
        <f>($Q$3/$R$3)*('Single Exponen'!J16-'Double Exponen'!J16)</f>
        <v>-561.5841290921984</v>
      </c>
      <c r="K16" s="6">
        <f>($Q$3/$R$3)*('Single Exponen'!K16-'Double Exponen'!K16)</f>
        <v>-1817.5154177549675</v>
      </c>
      <c r="L16" s="6">
        <f>($Q$3/$R$3)*('Single Exponen'!L16-'Double Exponen'!L16)</f>
        <v>-2031.2413616017775</v>
      </c>
      <c r="M16" s="6">
        <f>($Q$3/$R$3)*('Single Exponen'!M16-'Double Exponen'!M16)</f>
        <v>-1323.8663515425528</v>
      </c>
    </row>
    <row r="17" spans="1:13" x14ac:dyDescent="0.3">
      <c r="A17" s="1" t="str">
        <f>'Konstanta a'!A17</f>
        <v>Oil B 20 LT</v>
      </c>
      <c r="B17" s="6">
        <f>($Q$3/$R$3)*('Single Exponen'!B17-'Double Exponen'!B17)</f>
        <v>0</v>
      </c>
      <c r="C17" s="6">
        <f>($Q$3/$R$3)*('Single Exponen'!C17-'Double Exponen'!C17)</f>
        <v>355.17150000000061</v>
      </c>
      <c r="D17" s="6">
        <f>($Q$3/$R$3)*('Single Exponen'!D17-'Double Exponen'!D17)</f>
        <v>438.24060000000031</v>
      </c>
      <c r="E17" s="6">
        <f>($Q$3/$R$3)*('Single Exponen'!E17-'Double Exponen'!E17)</f>
        <v>309.37270500000034</v>
      </c>
      <c r="F17" s="6">
        <f>($Q$3/$R$3)*('Single Exponen'!F17-'Double Exponen'!F17)</f>
        <v>3742.2474930000021</v>
      </c>
      <c r="G17" s="6">
        <f>($Q$3/$R$3)*('Single Exponen'!G17-'Double Exponen'!G17)</f>
        <v>1599.6416647500012</v>
      </c>
      <c r="H17" s="6">
        <f>($Q$3/$R$3)*('Single Exponen'!H17-'Double Exponen'!H17)</f>
        <v>557.41915908000021</v>
      </c>
      <c r="I17" s="6">
        <f>($Q$3/$R$3)*('Single Exponen'!I17-'Double Exponen'!I17)</f>
        <v>767.52850698450072</v>
      </c>
      <c r="J17" s="6">
        <f>($Q$3/$R$3)*('Single Exponen'!J17-'Double Exponen'!J17)</f>
        <v>805.72452182910058</v>
      </c>
      <c r="K17" s="6">
        <f>($Q$3/$R$3)*('Single Exponen'!K17-'Double Exponen'!K17)</f>
        <v>2365.1933621383369</v>
      </c>
      <c r="L17" s="6">
        <f>($Q$3/$R$3)*('Single Exponen'!L17-'Double Exponen'!L17)</f>
        <v>340.32369129741096</v>
      </c>
      <c r="M17" s="6">
        <f>($Q$3/$R$3)*('Single Exponen'!M17-'Double Exponen'!M17)</f>
        <v>-515.25897963140972</v>
      </c>
    </row>
    <row r="18" spans="1:13" x14ac:dyDescent="0.3">
      <c r="A18" s="1" t="str">
        <f>'Konstanta a'!A18</f>
        <v>Oil B 200 LT</v>
      </c>
      <c r="B18" s="6">
        <f>($Q$3/$R$3)*('Single Exponen'!B18-'Double Exponen'!B18)</f>
        <v>0</v>
      </c>
      <c r="C18" s="6">
        <f>($Q$3/$R$3)*('Single Exponen'!C18-'Double Exponen'!C18)</f>
        <v>2200.0374000000006</v>
      </c>
      <c r="D18" s="6">
        <f>($Q$3/$R$3)*('Single Exponen'!D18-'Double Exponen'!D18)</f>
        <v>2541.7695600000006</v>
      </c>
      <c r="E18" s="6">
        <f>($Q$3/$R$3)*('Single Exponen'!E18-'Double Exponen'!E18)</f>
        <v>2422.7582580000008</v>
      </c>
      <c r="F18" s="6">
        <f>($Q$3/$R$3)*('Single Exponen'!F18-'Double Exponen'!F18)</f>
        <v>2866.0074768000013</v>
      </c>
      <c r="G18" s="6">
        <f>($Q$3/$R$3)*('Single Exponen'!G18-'Double Exponen'!G18)</f>
        <v>1980.7610211000017</v>
      </c>
      <c r="H18" s="6">
        <f>($Q$3/$R$3)*('Single Exponen'!H18-'Double Exponen'!H18)</f>
        <v>4598.8172659080037</v>
      </c>
      <c r="I18" s="6">
        <f>($Q$3/$R$3)*('Single Exponen'!I18-'Double Exponen'!I18)</f>
        <v>3543.1230719322029</v>
      </c>
      <c r="J18" s="6">
        <f>($Q$3/$R$3)*('Single Exponen'!J18-'Double Exponen'!J18)</f>
        <v>2396.4104404101627</v>
      </c>
      <c r="K18" s="6">
        <f>($Q$3/$R$3)*('Single Exponen'!K18-'Double Exponen'!K18)</f>
        <v>3648.8357113274492</v>
      </c>
      <c r="L18" s="6">
        <f>($Q$3/$R$3)*('Single Exponen'!L18-'Double Exponen'!L18)</f>
        <v>3850.5746800574507</v>
      </c>
      <c r="M18" s="6">
        <f>($Q$3/$R$3)*('Single Exponen'!M18-'Double Exponen'!M18)</f>
        <v>2950.1536535299806</v>
      </c>
    </row>
    <row r="19" spans="1:13" x14ac:dyDescent="0.3">
      <c r="A19" s="1">
        <f>'Konstanta a'!A19</f>
        <v>0.4</v>
      </c>
      <c r="B19" s="1" t="str">
        <f>'Konstanta a'!B19</f>
        <v>T1</v>
      </c>
      <c r="C19" s="1" t="str">
        <f>'Konstanta a'!C19</f>
        <v>T2</v>
      </c>
      <c r="D19" s="1" t="str">
        <f>'Konstanta a'!D19</f>
        <v>T3</v>
      </c>
      <c r="E19" s="1" t="str">
        <f>'Konstanta a'!E19</f>
        <v>T4</v>
      </c>
      <c r="F19" s="1" t="str">
        <f>'Konstanta a'!F19</f>
        <v>T5</v>
      </c>
      <c r="G19" s="1" t="str">
        <f>'Konstanta a'!G19</f>
        <v>T6</v>
      </c>
      <c r="H19" s="1" t="str">
        <f>'Konstanta a'!H19</f>
        <v>T7</v>
      </c>
      <c r="I19" s="1" t="str">
        <f>'Konstanta a'!I19</f>
        <v>T8</v>
      </c>
      <c r="J19" s="1" t="str">
        <f>'Konstanta a'!J19</f>
        <v>T9</v>
      </c>
      <c r="K19" s="1" t="str">
        <f>'Konstanta a'!K19</f>
        <v>T10</v>
      </c>
      <c r="L19" s="1" t="str">
        <f>'Konstanta a'!L19</f>
        <v>T11</v>
      </c>
      <c r="M19" s="1" t="str">
        <f>'Konstanta a'!M19</f>
        <v>T12</v>
      </c>
    </row>
    <row r="20" spans="1:13" x14ac:dyDescent="0.3">
      <c r="A20" s="1" t="str">
        <f>'Konstanta a'!A20</f>
        <v>Oil A 20 LT</v>
      </c>
      <c r="B20" s="6">
        <f>($Q$4/$R$4)*('Single Exponen'!B20-'Double Exponen'!B20)</f>
        <v>0</v>
      </c>
      <c r="C20" s="6">
        <f>($Q$4/$R$4)*('Single Exponen'!C20-'Double Exponen'!C20)</f>
        <v>-1247.7344000000001</v>
      </c>
      <c r="D20" s="6">
        <f>($Q$4/$R$4)*('Single Exponen'!D20-'Double Exponen'!D20)</f>
        <v>1100.4931200000017</v>
      </c>
      <c r="E20" s="6">
        <f>($Q$4/$R$4)*('Single Exponen'!E20-'Double Exponen'!E20)</f>
        <v>181.79692800000097</v>
      </c>
      <c r="F20" s="6">
        <f>($Q$4/$R$4)*('Single Exponen'!F20-'Double Exponen'!F20)</f>
        <v>-498.8708095999998</v>
      </c>
      <c r="G20" s="6">
        <f>($Q$4/$R$4)*('Single Exponen'!G20-'Double Exponen'!G20)</f>
        <v>-809.73986559999935</v>
      </c>
      <c r="H20" s="6">
        <f>($Q$4/$R$4)*('Single Exponen'!H20-'Double Exponen'!H20)</f>
        <v>820.71205273600094</v>
      </c>
      <c r="I20" s="6">
        <f>($Q$4/$R$4)*('Single Exponen'!I20-'Double Exponen'!I20)</f>
        <v>121.04561489919919</v>
      </c>
      <c r="J20" s="6">
        <f>($Q$4/$R$4)*('Single Exponen'!J20-'Double Exponen'!J20)</f>
        <v>-175.02240110592055</v>
      </c>
      <c r="K20" s="6">
        <f>($Q$4/$R$4)*('Single Exponen'!K20-'Double Exponen'!K20)</f>
        <v>-650.9169026908155</v>
      </c>
      <c r="L20" s="6">
        <f>($Q$4/$R$4)*('Single Exponen'!L20-'Double Exponen'!L20)</f>
        <v>840.88538116915277</v>
      </c>
      <c r="M20" s="6">
        <f>($Q$4/$R$4)*('Single Exponen'!M20-'Double Exponen'!M20)</f>
        <v>244.26294237167656</v>
      </c>
    </row>
    <row r="21" spans="1:13" x14ac:dyDescent="0.3">
      <c r="A21" s="1" t="str">
        <f>'Konstanta a'!A21</f>
        <v>Oil A 200 LT</v>
      </c>
      <c r="B21" s="6">
        <f>($Q$4/$R$4)*('Single Exponen'!B21-'Double Exponen'!B21)</f>
        <v>0</v>
      </c>
      <c r="C21" s="6">
        <f>($Q$4/$R$4)*('Single Exponen'!C21-'Double Exponen'!C21)</f>
        <v>-10031.203200000029</v>
      </c>
      <c r="D21" s="6">
        <f>($Q$4/$R$4)*('Single Exponen'!D21-'Double Exponen'!D21)</f>
        <v>-13314.528639999995</v>
      </c>
      <c r="E21" s="6">
        <f>($Q$4/$R$4)*('Single Exponen'!E21-'Double Exponen'!E21)</f>
        <v>6300.217983999989</v>
      </c>
      <c r="F21" s="6">
        <f>($Q$4/$R$4)*('Single Exponen'!F21-'Double Exponen'!F21)</f>
        <v>-36418.431308800013</v>
      </c>
      <c r="G21" s="6">
        <f>($Q$4/$R$4)*('Single Exponen'!G21-'Double Exponen'!G21)</f>
        <v>-17619.440844800014</v>
      </c>
      <c r="H21" s="6">
        <f>($Q$4/$R$4)*('Single Exponen'!H21-'Double Exponen'!H21)</f>
        <v>5600.4070574080115</v>
      </c>
      <c r="I21" s="6">
        <f>($Q$4/$R$4)*('Single Exponen'!I21-'Double Exponen'!I21)</f>
        <v>20804.635973017586</v>
      </c>
      <c r="J21" s="6">
        <f>($Q$4/$R$4)*('Single Exponen'!J21-'Double Exponen'!J21)</f>
        <v>23158.911026954265</v>
      </c>
      <c r="K21" s="6">
        <f>($Q$4/$R$4)*('Single Exponen'!K21-'Double Exponen'!K21)</f>
        <v>22309.545882058759</v>
      </c>
      <c r="L21" s="6">
        <f>($Q$4/$R$4)*('Single Exponen'!L21-'Double Exponen'!L21)</f>
        <v>11232.407088766962</v>
      </c>
      <c r="M21" s="6">
        <f>($Q$4/$R$4)*('Single Exponen'!M21-'Double Exponen'!M21)</f>
        <v>-2901.2392110208361</v>
      </c>
    </row>
    <row r="22" spans="1:13" x14ac:dyDescent="0.3">
      <c r="A22" s="1" t="str">
        <f>'Konstanta a'!A22</f>
        <v>Oil A 1000 LT</v>
      </c>
      <c r="B22" s="6">
        <f>($Q$4/$R$4)*('Single Exponen'!B22-'Double Exponen'!B22)</f>
        <v>0</v>
      </c>
      <c r="C22" s="6">
        <f>($Q$4/$R$4)*('Single Exponen'!C22-'Double Exponen'!C22)</f>
        <v>3001.3279999999991</v>
      </c>
      <c r="D22" s="6">
        <f>($Q$4/$R$4)*('Single Exponen'!D22-'Double Exponen'!D22)</f>
        <v>1447.2416000000014</v>
      </c>
      <c r="E22" s="6">
        <f>($Q$4/$R$4)*('Single Exponen'!E22-'Double Exponen'!E22)</f>
        <v>2356.2118400000013</v>
      </c>
      <c r="F22" s="6">
        <f>($Q$4/$R$4)*('Single Exponen'!F22-'Double Exponen'!F22)</f>
        <v>-176.00076800000051</v>
      </c>
      <c r="G22" s="6">
        <f>($Q$4/$R$4)*('Single Exponen'!G22-'Double Exponen'!G22)</f>
        <v>4277.4108159999987</v>
      </c>
      <c r="H22" s="6">
        <f>($Q$4/$R$4)*('Single Exponen'!H22-'Double Exponen'!H22)</f>
        <v>9439.4212556800012</v>
      </c>
      <c r="I22" s="6">
        <f>($Q$4/$R$4)*('Single Exponen'!I22-'Double Exponen'!I22)</f>
        <v>5038.077613055998</v>
      </c>
      <c r="J22" s="6">
        <f>($Q$4/$R$4)*('Single Exponen'!J22-'Double Exponen'!J22)</f>
        <v>-4198.6905163776009</v>
      </c>
      <c r="K22" s="6">
        <f>($Q$4/$R$4)*('Single Exponen'!K22-'Double Exponen'!K22)</f>
        <v>-4780.0565603532796</v>
      </c>
      <c r="L22" s="6">
        <f>($Q$4/$R$4)*('Single Exponen'!L22-'Double Exponen'!L22)</f>
        <v>-3801.2432865279993</v>
      </c>
      <c r="M22" s="6">
        <f>($Q$4/$R$4)*('Single Exponen'!M22-'Double Exponen'!M22)</f>
        <v>-1721.9355821064191</v>
      </c>
    </row>
    <row r="23" spans="1:13" x14ac:dyDescent="0.3">
      <c r="A23" s="1" t="str">
        <f>'Konstanta a'!A23</f>
        <v>Oil B 20 LT</v>
      </c>
      <c r="B23" s="6">
        <f>($Q$4/$R$4)*('Single Exponen'!B23-'Double Exponen'!B23)</f>
        <v>0</v>
      </c>
      <c r="C23" s="6">
        <f>($Q$4/$R$4)*('Single Exponen'!C23-'Double Exponen'!C23)</f>
        <v>631.41599999999994</v>
      </c>
      <c r="D23" s="6">
        <f>($Q$4/$R$4)*('Single Exponen'!D23-'Double Exponen'!D23)</f>
        <v>652.81120000000021</v>
      </c>
      <c r="E23" s="6">
        <f>($Q$4/$R$4)*('Single Exponen'!E23-'Double Exponen'!E23)</f>
        <v>324.72128000000038</v>
      </c>
      <c r="F23" s="6">
        <f>($Q$4/$R$4)*('Single Exponen'!F23-'Double Exponen'!F23)</f>
        <v>6419.2999040000004</v>
      </c>
      <c r="G23" s="6">
        <f>($Q$4/$R$4)*('Single Exponen'!G23-'Double Exponen'!G23)</f>
        <v>1385.5274240000001</v>
      </c>
      <c r="H23" s="6">
        <f>($Q$4/$R$4)*('Single Exponen'!H23-'Double Exponen'!H23)</f>
        <v>-378.76465663999994</v>
      </c>
      <c r="I23" s="6">
        <f>($Q$4/$R$4)*('Single Exponen'!I23-'Double Exponen'!I23)</f>
        <v>417.2989393919998</v>
      </c>
      <c r="J23" s="6">
        <f>($Q$4/$R$4)*('Single Exponen'!J23-'Double Exponen'!J23)</f>
        <v>644.79400366079915</v>
      </c>
      <c r="K23" s="6">
        <f>($Q$4/$R$4)*('Single Exponen'!K23-'Double Exponen'!K23)</f>
        <v>3491.5571862118404</v>
      </c>
      <c r="L23" s="6">
        <f>($Q$4/$R$4)*('Single Exponen'!L23-'Double Exponen'!L23)</f>
        <v>-622.06521786368114</v>
      </c>
      <c r="M23" s="6">
        <f>($Q$4/$R$4)*('Single Exponen'!M23-'Double Exponen'!M23)</f>
        <v>-1706.1364484726789</v>
      </c>
    </row>
    <row r="24" spans="1:13" x14ac:dyDescent="0.3">
      <c r="A24" s="1" t="str">
        <f>'Konstanta a'!A24</f>
        <v>Oil B 200 LT</v>
      </c>
      <c r="B24" s="6">
        <f>($Q$4/$R$4)*('Single Exponen'!B24-'Double Exponen'!B24)</f>
        <v>0</v>
      </c>
      <c r="C24" s="6">
        <f>($Q$4/$R$4)*('Single Exponen'!C24-'Double Exponen'!C24)</f>
        <v>3911.1776</v>
      </c>
      <c r="D24" s="6">
        <f>($Q$4/$R$4)*('Single Exponen'!D24-'Double Exponen'!D24)</f>
        <v>3736.4659200000006</v>
      </c>
      <c r="E24" s="6">
        <f>($Q$4/$R$4)*('Single Exponen'!E24-'Double Exponen'!E24)</f>
        <v>2973.1559680000005</v>
      </c>
      <c r="F24" s="6">
        <f>($Q$4/$R$4)*('Single Exponen'!F24-'Double Exponen'!F24)</f>
        <v>3501.9714303999999</v>
      </c>
      <c r="G24" s="6">
        <f>($Q$4/$R$4)*('Single Exponen'!G24-'Double Exponen'!G24)</f>
        <v>1630.6999679999985</v>
      </c>
      <c r="H24" s="6">
        <f>($Q$4/$R$4)*('Single Exponen'!H24-'Double Exponen'!H24)</f>
        <v>6438.522246655999</v>
      </c>
      <c r="I24" s="6">
        <f>($Q$4/$R$4)*('Single Exponen'!I24-'Double Exponen'!I24)</f>
        <v>3717.5779075071991</v>
      </c>
      <c r="J24" s="6">
        <f>($Q$4/$R$4)*('Single Exponen'!J24-'Double Exponen'!J24)</f>
        <v>1591.1518802124799</v>
      </c>
      <c r="K24" s="6">
        <f>($Q$4/$R$4)*('Single Exponen'!K24-'Double Exponen'!K24)</f>
        <v>4179.9278095523869</v>
      </c>
      <c r="L24" s="6">
        <f>($Q$4/$R$4)*('Single Exponen'!L24-'Double Exponen'!L24)</f>
        <v>4294.5578945863726</v>
      </c>
      <c r="M24" s="6">
        <f>($Q$4/$R$4)*('Single Exponen'!M24-'Double Exponen'!M24)</f>
        <v>2488.3018620647881</v>
      </c>
    </row>
    <row r="25" spans="1:13" x14ac:dyDescent="0.3">
      <c r="A25" s="1">
        <f>'Konstanta a'!A25</f>
        <v>0.5</v>
      </c>
      <c r="B25" s="1" t="str">
        <f>'Konstanta a'!B25</f>
        <v>T1</v>
      </c>
      <c r="C25" s="1" t="str">
        <f>'Konstanta a'!C25</f>
        <v>T2</v>
      </c>
      <c r="D25" s="1" t="str">
        <f>'Konstanta a'!D25</f>
        <v>T3</v>
      </c>
      <c r="E25" s="1" t="str">
        <f>'Konstanta a'!E25</f>
        <v>T4</v>
      </c>
      <c r="F25" s="1" t="str">
        <f>'Konstanta a'!F25</f>
        <v>T5</v>
      </c>
      <c r="G25" s="1" t="str">
        <f>'Konstanta a'!G25</f>
        <v>T6</v>
      </c>
      <c r="H25" s="1" t="str">
        <f>'Konstanta a'!H25</f>
        <v>T7</v>
      </c>
      <c r="I25" s="1" t="str">
        <f>'Konstanta a'!I25</f>
        <v>T8</v>
      </c>
      <c r="J25" s="1" t="str">
        <f>'Konstanta a'!J25</f>
        <v>T9</v>
      </c>
      <c r="K25" s="1" t="str">
        <f>'Konstanta a'!K25</f>
        <v>T10</v>
      </c>
      <c r="L25" s="1" t="str">
        <f>'Konstanta a'!L25</f>
        <v>T11</v>
      </c>
      <c r="M25" s="1" t="str">
        <f>'Konstanta a'!M25</f>
        <v>T12</v>
      </c>
    </row>
    <row r="26" spans="1:13" x14ac:dyDescent="0.3">
      <c r="A26" s="1" t="str">
        <f>'Konstanta a'!A26</f>
        <v>Oil A 20 LT</v>
      </c>
      <c r="B26" s="6">
        <f>($Q$5/$R$5)*('Single Exponen'!B26-'Double Exponen'!B26)</f>
        <v>0</v>
      </c>
      <c r="C26" s="6">
        <f>($Q$5/$R$5)*('Single Exponen'!C26-'Double Exponen'!C26)</f>
        <v>-1949.5850000000009</v>
      </c>
      <c r="D26" s="6">
        <f>($Q$5/$R$5)*('Single Exponen'!D26-'Double Exponen'!D26)</f>
        <v>2109.4375</v>
      </c>
      <c r="E26" s="6">
        <f>($Q$5/$R$5)*('Single Exponen'!E26-'Double Exponen'!E26)</f>
        <v>115.61624999999913</v>
      </c>
      <c r="F26" s="6">
        <f>($Q$5/$R$5)*('Single Exponen'!F26-'Double Exponen'!F26)</f>
        <v>-913.07062500000029</v>
      </c>
      <c r="G26" s="6">
        <f>($Q$5/$R$5)*('Single Exponen'!G26-'Double Exponen'!G26)</f>
        <v>-1169.5496875000008</v>
      </c>
      <c r="H26" s="6">
        <f>($Q$5/$R$5)*('Single Exponen'!H26-'Double Exponen'!H26)</f>
        <v>1578.7279687499995</v>
      </c>
      <c r="I26" s="6">
        <f>($Q$5/$R$5)*('Single Exponen'!I26-'Double Exponen'!I26)</f>
        <v>65.935390624999854</v>
      </c>
      <c r="J26" s="6">
        <f>($Q$5/$R$5)*('Single Exponen'!J26-'Double Exponen'!J26)</f>
        <v>-367.52910156250073</v>
      </c>
      <c r="K26" s="6">
        <f>($Q$5/$R$5)*('Single Exponen'!K26-'Double Exponen'!K26)</f>
        <v>-1004.8154492187514</v>
      </c>
      <c r="L26" s="6">
        <f>($Q$5/$R$5)*('Single Exponen'!L26-'Double Exponen'!L26)</f>
        <v>1522.9693261718749</v>
      </c>
      <c r="M26" s="6">
        <f>($Q$5/$R$5)*('Single Exponen'!M26-'Double Exponen'!M26)</f>
        <v>213.03318847656192</v>
      </c>
    </row>
    <row r="27" spans="1:13" x14ac:dyDescent="0.3">
      <c r="A27" s="1" t="str">
        <f>'Konstanta a'!A27</f>
        <v>Oil A 200 LT</v>
      </c>
      <c r="B27" s="6">
        <f>($Q$5/$R$5)*('Single Exponen'!B27-'Double Exponen'!B27)</f>
        <v>0</v>
      </c>
      <c r="C27" s="6">
        <f>($Q$5/$R$5)*('Single Exponen'!C27-'Double Exponen'!C27)</f>
        <v>-15673.755000000005</v>
      </c>
      <c r="D27" s="6">
        <f>($Q$5/$R$5)*('Single Exponen'!D27-'Double Exponen'!D27)</f>
        <v>-17669.200000000012</v>
      </c>
      <c r="E27" s="6">
        <f>($Q$5/$R$5)*('Single Exponen'!E27-'Double Exponen'!E27)</f>
        <v>15415.518749999988</v>
      </c>
      <c r="F27" s="6">
        <f>($Q$5/$R$5)*('Single Exponen'!F27-'Double Exponen'!F27)</f>
        <v>-56373.31124999997</v>
      </c>
      <c r="G27" s="6">
        <f>($Q$5/$R$5)*('Single Exponen'!G27-'Double Exponen'!G27)</f>
        <v>-15929.135937499988</v>
      </c>
      <c r="H27" s="6">
        <f>($Q$5/$R$5)*('Single Exponen'!H27-'Double Exponen'!H27)</f>
        <v>19465.911874999991</v>
      </c>
      <c r="I27" s="6">
        <f>($Q$5/$R$5)*('Single Exponen'!I27-'Double Exponen'!I27)</f>
        <v>35543.740859374986</v>
      </c>
      <c r="J27" s="6">
        <f>($Q$5/$R$5)*('Single Exponen'!J27-'Double Exponen'!J27)</f>
        <v>31004.597890625009</v>
      </c>
      <c r="K27" s="6">
        <f>($Q$5/$R$5)*('Single Exponen'!K27-'Double Exponen'!K27)</f>
        <v>25256.977675781236</v>
      </c>
      <c r="L27" s="6">
        <f>($Q$5/$R$5)*('Single Exponen'!L27-'Double Exponen'!L27)</f>
        <v>6252.9532031249837</v>
      </c>
      <c r="M27" s="6">
        <f>($Q$5/$R$5)*('Single Exponen'!M27-'Double Exponen'!M27)</f>
        <v>-13106.121215820313</v>
      </c>
    </row>
    <row r="28" spans="1:13" x14ac:dyDescent="0.3">
      <c r="A28" s="1" t="str">
        <f>'Konstanta a'!A28</f>
        <v>Oil A 1000 LT</v>
      </c>
      <c r="B28" s="6">
        <f>($Q$5/$R$5)*('Single Exponen'!B28-'Double Exponen'!B28)</f>
        <v>0</v>
      </c>
      <c r="C28" s="6">
        <f>($Q$5/$R$5)*('Single Exponen'!C28-'Double Exponen'!C28)</f>
        <v>4689.5749999999971</v>
      </c>
      <c r="D28" s="6">
        <f>($Q$5/$R$5)*('Single Exponen'!D28-'Double Exponen'!D28)</f>
        <v>1323.3999999999978</v>
      </c>
      <c r="E28" s="6">
        <f>($Q$5/$R$5)*('Single Exponen'!E28-'Double Exponen'!E28)</f>
        <v>2807.2562499999985</v>
      </c>
      <c r="F28" s="6">
        <f>($Q$5/$R$5)*('Single Exponen'!F28-'Double Exponen'!F28)</f>
        <v>-1402.4187500000007</v>
      </c>
      <c r="G28" s="6">
        <f>($Q$5/$R$5)*('Single Exponen'!G28-'Double Exponen'!G28)</f>
        <v>6234.5921874999985</v>
      </c>
      <c r="H28" s="6">
        <f>($Q$5/$R$5)*('Single Exponen'!H28-'Double Exponen'!H28)</f>
        <v>13215.146874999999</v>
      </c>
      <c r="I28" s="6">
        <f>($Q$5/$R$5)*('Single Exponen'!I28-'Double Exponen'!I28)</f>
        <v>4235.6238281249971</v>
      </c>
      <c r="J28" s="6">
        <f>($Q$5/$R$5)*('Single Exponen'!J28-'Double Exponen'!J28)</f>
        <v>-9765.337890625</v>
      </c>
      <c r="K28" s="6">
        <f>($Q$5/$R$5)*('Single Exponen'!K28-'Double Exponen'!K28)</f>
        <v>-7586.6188476562456</v>
      </c>
      <c r="L28" s="6">
        <f>($Q$5/$R$5)*('Single Exponen'!L28-'Double Exponen'!L28)</f>
        <v>-4483.8843749999978</v>
      </c>
      <c r="M28" s="6">
        <f>($Q$5/$R$5)*('Single Exponen'!M28-'Double Exponen'!M28)</f>
        <v>-839.20466308593677</v>
      </c>
    </row>
    <row r="29" spans="1:13" x14ac:dyDescent="0.3">
      <c r="A29" s="1" t="str">
        <f>'Konstanta a'!A29</f>
        <v>Oil B 20 LT</v>
      </c>
      <c r="B29" s="6">
        <f>($Q$5/$R$5)*('Single Exponen'!B29-'Double Exponen'!B29)</f>
        <v>0</v>
      </c>
      <c r="C29" s="6">
        <f>($Q$5/$R$5)*('Single Exponen'!C29-'Double Exponen'!C29)</f>
        <v>986.58750000000055</v>
      </c>
      <c r="D29" s="6">
        <f>($Q$5/$R$5)*('Single Exponen'!D29-'Double Exponen'!D29)</f>
        <v>822.69999999999982</v>
      </c>
      <c r="E29" s="6">
        <f>($Q$5/$R$5)*('Single Exponen'!E29-'Double Exponen'!E29)</f>
        <v>214.5806249999996</v>
      </c>
      <c r="F29" s="6">
        <f>($Q$5/$R$5)*('Single Exponen'!F29-'Double Exponen'!F29)</f>
        <v>9797.4156249999978</v>
      </c>
      <c r="G29" s="6">
        <f>($Q$5/$R$5)*('Single Exponen'!G29-'Double Exponen'!G29)</f>
        <v>55.125468749996799</v>
      </c>
      <c r="H29" s="6">
        <f>($Q$5/$R$5)*('Single Exponen'!H29-'Double Exponen'!H29)</f>
        <v>-1973.0559375000012</v>
      </c>
      <c r="I29" s="6">
        <f>($Q$5/$R$5)*('Single Exponen'!I29-'Double Exponen'!I29)</f>
        <v>154.73519531249985</v>
      </c>
      <c r="J29" s="6">
        <f>($Q$5/$R$5)*('Single Exponen'!J29-'Double Exponen'!J29)</f>
        <v>659.99917968750015</v>
      </c>
      <c r="K29" s="6">
        <f>($Q$5/$R$5)*('Single Exponen'!K29-'Double Exponen'!K29)</f>
        <v>5102.6153808593735</v>
      </c>
      <c r="L29" s="6">
        <f>($Q$5/$R$5)*('Single Exponen'!L29-'Double Exponen'!L29)</f>
        <v>-2218.3344140625013</v>
      </c>
      <c r="M29" s="6">
        <f>($Q$5/$R$5)*('Single Exponen'!M29-'Double Exponen'!M29)</f>
        <v>-3029.4532592773448</v>
      </c>
    </row>
    <row r="30" spans="1:13" x14ac:dyDescent="0.3">
      <c r="A30" s="1" t="str">
        <f>'Konstanta a'!A30</f>
        <v>Oil B 200 LT</v>
      </c>
      <c r="B30" s="6">
        <f>($Q$5/$R$5)*('Single Exponen'!B30-'Double Exponen'!B30)</f>
        <v>0</v>
      </c>
      <c r="C30" s="6">
        <f>($Q$5/$R$5)*('Single Exponen'!C30-'Double Exponen'!C30)</f>
        <v>6111.2149999999992</v>
      </c>
      <c r="D30" s="6">
        <f>($Q$5/$R$5)*('Single Exponen'!D30-'Double Exponen'!D30)</f>
        <v>4615.9850000000006</v>
      </c>
      <c r="E30" s="6">
        <f>($Q$5/$R$5)*('Single Exponen'!E30-'Double Exponen'!E30)</f>
        <v>2927.9012500000008</v>
      </c>
      <c r="F30" s="6">
        <f>($Q$5/$R$5)*('Single Exponen'!F30-'Double Exponen'!F30)</f>
        <v>3772.8299999999981</v>
      </c>
      <c r="G30" s="6">
        <f>($Q$5/$R$5)*('Single Exponen'!G30-'Double Exponen'!G30)</f>
        <v>695.02718749999985</v>
      </c>
      <c r="H30" s="6">
        <f>($Q$5/$R$5)*('Single Exponen'!H30-'Double Exponen'!H30)</f>
        <v>8724.3071874999987</v>
      </c>
      <c r="I30" s="6">
        <f>($Q$5/$R$5)*('Single Exponen'!I30-'Double Exponen'!I30)</f>
        <v>3204.3053906249988</v>
      </c>
      <c r="J30" s="6">
        <f>($Q$5/$R$5)*('Single Exponen'!J30-'Double Exponen'!J30)</f>
        <v>160.61359375000029</v>
      </c>
      <c r="K30" s="6">
        <f>($Q$5/$R$5)*('Single Exponen'!K30-'Double Exponen'!K30)</f>
        <v>4998.4022460937558</v>
      </c>
      <c r="L30" s="6">
        <f>($Q$5/$R$5)*('Single Exponen'!L30-'Double Exponen'!L30)</f>
        <v>4726.1538476562491</v>
      </c>
      <c r="M30" s="6">
        <f>($Q$5/$R$5)*('Single Exponen'!M30-'Double Exponen'!M30)</f>
        <v>1663.4382861328122</v>
      </c>
    </row>
    <row r="31" spans="1:13" x14ac:dyDescent="0.3">
      <c r="A31" s="1">
        <f>'Konstanta a'!A31</f>
        <v>0.6</v>
      </c>
      <c r="B31" s="1" t="str">
        <f>'Konstanta a'!B31</f>
        <v>T1</v>
      </c>
      <c r="C31" s="1" t="str">
        <f>'Konstanta a'!C31</f>
        <v>T2</v>
      </c>
      <c r="D31" s="1" t="str">
        <f>'Konstanta a'!D31</f>
        <v>T3</v>
      </c>
      <c r="E31" s="1" t="str">
        <f>'Konstanta a'!E31</f>
        <v>T4</v>
      </c>
      <c r="F31" s="1" t="str">
        <f>'Konstanta a'!F31</f>
        <v>T5</v>
      </c>
      <c r="G31" s="1" t="str">
        <f>'Konstanta a'!G31</f>
        <v>T6</v>
      </c>
      <c r="H31" s="1" t="str">
        <f>'Konstanta a'!H31</f>
        <v>T7</v>
      </c>
      <c r="I31" s="1" t="str">
        <f>'Konstanta a'!I31</f>
        <v>T8</v>
      </c>
      <c r="J31" s="1" t="str">
        <f>'Konstanta a'!J31</f>
        <v>T9</v>
      </c>
      <c r="K31" s="1" t="str">
        <f>'Konstanta a'!K31</f>
        <v>T10</v>
      </c>
      <c r="L31" s="1" t="str">
        <f>'Konstanta a'!L31</f>
        <v>T11</v>
      </c>
      <c r="M31" s="1" t="str">
        <f>'Konstanta a'!M31</f>
        <v>T12</v>
      </c>
    </row>
    <row r="32" spans="1:13" x14ac:dyDescent="0.3">
      <c r="A32" s="1" t="str">
        <f>'Konstanta a'!A32</f>
        <v>Oil A 20 LT</v>
      </c>
      <c r="B32" s="6">
        <f>($Q$6/$R$6)*('Single Exponen'!B32-'Double Exponen'!B32)</f>
        <v>0</v>
      </c>
      <c r="C32" s="6">
        <f>($Q$6/$R$6)*('Single Exponen'!C32-'Double Exponen'!C32)</f>
        <v>-6316.6553999999996</v>
      </c>
      <c r="D32" s="6">
        <f>($Q$6/$R$6)*('Single Exponen'!D32-'Double Exponen'!D32)</f>
        <v>4939.5808799999968</v>
      </c>
      <c r="E32" s="6">
        <f>($Q$6/$R$6)*('Single Exponen'!E32-'Double Exponen'!E32)</f>
        <v>656.30638799999531</v>
      </c>
      <c r="F32" s="6">
        <f>($Q$6/$R$6)*('Single Exponen'!F32-'Double Exponen'!F32)</f>
        <v>-2549.3519124000027</v>
      </c>
      <c r="G32" s="6">
        <f>($Q$6/$R$6)*('Single Exponen'!G32-'Double Exponen'!G32)</f>
        <v>-4287.770785800004</v>
      </c>
      <c r="H32" s="6">
        <f>($Q$6/$R$6)*('Single Exponen'!H32-'Double Exponen'!H32)</f>
        <v>3508.4970669239951</v>
      </c>
      <c r="I32" s="6">
        <f>($Q$6/$R$6)*('Single Exponen'!I32-'Double Exponen'!I32)</f>
        <v>255.86046988919495</v>
      </c>
      <c r="J32" s="6">
        <f>($Q$6/$R$6)*('Single Exponen'!J32-'Double Exponen'!J32)</f>
        <v>-1056.0956332366893</v>
      </c>
      <c r="K32" s="6">
        <f>($Q$6/$R$6)*('Single Exponen'!K32-'Double Exponen'!K32)</f>
        <v>-3476.4341923678035</v>
      </c>
      <c r="L32" s="6">
        <f>($Q$6/$R$6)*('Single Exponen'!L32-'Double Exponen'!L32)</f>
        <v>3753.1540778870599</v>
      </c>
      <c r="M32" s="6">
        <f>($Q$6/$R$6)*('Single Exponen'!M32-'Double Exponen'!M32)</f>
        <v>1072.5230105055878</v>
      </c>
    </row>
    <row r="33" spans="1:13" x14ac:dyDescent="0.3">
      <c r="A33" s="1" t="str">
        <f>'Konstanta a'!A33</f>
        <v>Oil A 200 LT</v>
      </c>
      <c r="B33" s="6">
        <f>($Q$6/$R$6)*('Single Exponen'!B33-'Double Exponen'!B33)</f>
        <v>0</v>
      </c>
      <c r="C33" s="6">
        <f>($Q$6/$R$6)*('Single Exponen'!C33-'Double Exponen'!C33)</f>
        <v>-50782.966200000046</v>
      </c>
      <c r="D33" s="6">
        <f>($Q$6/$R$6)*('Single Exponen'!D33-'Double Exponen'!D33)</f>
        <v>-72483.097860000024</v>
      </c>
      <c r="E33" s="6">
        <f>($Q$6/$R$6)*('Single Exponen'!E33-'Double Exponen'!E33)</f>
        <v>18552.587813999879</v>
      </c>
      <c r="F33" s="6">
        <f>($Q$6/$R$6)*('Single Exponen'!F33-'Double Exponen'!F33)</f>
        <v>-196695.58181220008</v>
      </c>
      <c r="G33" s="6">
        <f>($Q$6/$R$6)*('Single Exponen'!G33-'Double Exponen'!G33)</f>
        <v>-118857.48976890008</v>
      </c>
      <c r="H33" s="6">
        <f>($Q$6/$R$6)*('Single Exponen'!H33-'Double Exponen'!H33)</f>
        <v>-14686.754447178098</v>
      </c>
      <c r="I33" s="6">
        <f>($Q$6/$R$6)*('Single Exponen'!I33-'Double Exponen'!I33)</f>
        <v>62885.481335472454</v>
      </c>
      <c r="J33" s="6">
        <f>($Q$6/$R$6)*('Single Exponen'!J33-'Double Exponen'!J33)</f>
        <v>88098.922737098343</v>
      </c>
      <c r="K33" s="6">
        <f>($Q$6/$R$6)*('Single Exponen'!K33-'Double Exponen'!K33)</f>
        <v>102057.96687745755</v>
      </c>
      <c r="L33" s="6">
        <f>($Q$6/$R$6)*('Single Exponen'!L33-'Double Exponen'!L33)</f>
        <v>64500.429755339508</v>
      </c>
      <c r="M33" s="6">
        <f>($Q$6/$R$6)*('Single Exponen'!M33-'Double Exponen'!M33)</f>
        <v>4844.4414060566332</v>
      </c>
    </row>
    <row r="34" spans="1:13" x14ac:dyDescent="0.3">
      <c r="A34" s="1" t="str">
        <f>'Konstanta a'!A34</f>
        <v>Oil A 1000 LT</v>
      </c>
      <c r="B34" s="6">
        <f>($Q$6/$R$6)*('Single Exponen'!B34-'Double Exponen'!B34)</f>
        <v>0</v>
      </c>
      <c r="C34" s="6">
        <f>($Q$6/$R$6)*('Single Exponen'!C34-'Double Exponen'!C34)</f>
        <v>15194.222999999998</v>
      </c>
      <c r="D34" s="6">
        <f>($Q$6/$R$6)*('Single Exponen'!D34-'Double Exponen'!D34)</f>
        <v>8846.0828999999958</v>
      </c>
      <c r="E34" s="6">
        <f>($Q$6/$R$6)*('Single Exponen'!E34-'Double Exponen'!E34)</f>
        <v>14636.237489999992</v>
      </c>
      <c r="F34" s="6">
        <f>($Q$6/$R$6)*('Single Exponen'!F34-'Double Exponen'!F34)</f>
        <v>3275.1258929999981</v>
      </c>
      <c r="G34" s="6">
        <f>($Q$6/$R$6)*('Single Exponen'!G34-'Double Exponen'!G34)</f>
        <v>26006.411164499998</v>
      </c>
      <c r="H34" s="6">
        <f>($Q$6/$R$6)*('Single Exponen'!H34-'Double Exponen'!H34)</f>
        <v>54110.327192369979</v>
      </c>
      <c r="I34" s="6">
        <f>($Q$6/$R$6)*('Single Exponen'!I34-'Double Exponen'!I34)</f>
        <v>36937.482330860992</v>
      </c>
      <c r="J34" s="6">
        <f>($Q$6/$R$6)*('Single Exponen'!J34-'Double Exponen'!J34)</f>
        <v>-6119.8377591339022</v>
      </c>
      <c r="K34" s="6">
        <f>($Q$6/$R$6)*('Single Exponen'!K34-'Double Exponen'!K34)</f>
        <v>-10763.377725984035</v>
      </c>
      <c r="L34" s="6">
        <f>($Q$6/$R$6)*('Single Exponen'!L34-'Double Exponen'!L34)</f>
        <v>-9646.3134504910322</v>
      </c>
      <c r="M34" s="6">
        <f>($Q$6/$R$6)*('Single Exponen'!M34-'Double Exponen'!M34)</f>
        <v>-3001.7905042841062</v>
      </c>
    </row>
    <row r="35" spans="1:13" x14ac:dyDescent="0.3">
      <c r="A35" s="1" t="str">
        <f>'Konstanta a'!A35</f>
        <v>Oil B 20 LT</v>
      </c>
      <c r="B35" s="6">
        <f>($Q$6/$R$6)*('Single Exponen'!B35-'Double Exponen'!B35)</f>
        <v>0</v>
      </c>
      <c r="C35" s="6">
        <f>($Q$6/$R$6)*('Single Exponen'!C35-'Double Exponen'!C35)</f>
        <v>3196.5434999999989</v>
      </c>
      <c r="D35" s="6">
        <f>($Q$6/$R$6)*('Single Exponen'!D35-'Double Exponen'!D35)</f>
        <v>3624.5110500000005</v>
      </c>
      <c r="E35" s="6">
        <f>($Q$6/$R$6)*('Single Exponen'!E35-'Double Exponen'!E35)</f>
        <v>2389.9378050000009</v>
      </c>
      <c r="F35" s="6">
        <f>($Q$6/$R$6)*('Single Exponen'!F35-'Double Exponen'!F35)</f>
        <v>33516.867568499991</v>
      </c>
      <c r="G35" s="6">
        <f>($Q$6/$R$6)*('Single Exponen'!G35-'Double Exponen'!G35)</f>
        <v>11320.340429249996</v>
      </c>
      <c r="H35" s="6">
        <f>($Q$6/$R$6)*('Single Exponen'!H35-'Double Exponen'!H35)</f>
        <v>4014.9691333649994</v>
      </c>
      <c r="I35" s="6">
        <f>($Q$6/$R$6)*('Single Exponen'!I35-'Double Exponen'!I35)</f>
        <v>8082.8322188444981</v>
      </c>
      <c r="J35" s="6">
        <f>($Q$6/$R$6)*('Single Exponen'!J35-'Double Exponen'!J35)</f>
        <v>9101.1729964864462</v>
      </c>
      <c r="K35" s="6">
        <f>($Q$6/$R$6)*('Single Exponen'!K35-'Double Exponen'!K35)</f>
        <v>23441.117296648354</v>
      </c>
      <c r="L35" s="6">
        <f>($Q$6/$R$6)*('Single Exponen'!L35-'Double Exponen'!L35)</f>
        <v>4011.7522069077463</v>
      </c>
      <c r="M35" s="6">
        <f>($Q$6/$R$6)*('Single Exponen'!M35-'Double Exponen'!M35)</f>
        <v>-1718.4309578133395</v>
      </c>
    </row>
    <row r="36" spans="1:13" x14ac:dyDescent="0.3">
      <c r="A36" s="1" t="str">
        <f>'Konstanta a'!A36</f>
        <v>Oil B 200 LT</v>
      </c>
      <c r="B36" s="6">
        <f>($Q$6/$R$6)*('Single Exponen'!B36-'Double Exponen'!B36)</f>
        <v>0</v>
      </c>
      <c r="C36" s="6">
        <f>($Q$6/$R$6)*('Single Exponen'!C36-'Double Exponen'!C36)</f>
        <v>19800.336599999995</v>
      </c>
      <c r="D36" s="6">
        <f>($Q$6/$R$6)*('Single Exponen'!D36-'Double Exponen'!D36)</f>
        <v>20895.892379999998</v>
      </c>
      <c r="E36" s="6">
        <f>($Q$6/$R$6)*('Single Exponen'!E36-'Double Exponen'!E36)</f>
        <v>19517.231717999995</v>
      </c>
      <c r="F36" s="6">
        <f>($Q$6/$R$6)*('Single Exponen'!F36-'Double Exponen'!F36)</f>
        <v>24326.396976599994</v>
      </c>
      <c r="G36" s="6">
        <f>($Q$6/$R$6)*('Single Exponen'!G36-'Double Exponen'!G36)</f>
        <v>16997.631551099996</v>
      </c>
      <c r="H36" s="6">
        <f>($Q$6/$R$6)*('Single Exponen'!H36-'Double Exponen'!H36)</f>
        <v>42410.277604853982</v>
      </c>
      <c r="I36" s="6">
        <f>($Q$6/$R$6)*('Single Exponen'!I36-'Double Exponen'!I36)</f>
        <v>31692.379727914187</v>
      </c>
      <c r="J36" s="6">
        <f>($Q$6/$R$6)*('Single Exponen'!J36-'Double Exponen'!J36)</f>
        <v>23137.521108541016</v>
      </c>
      <c r="K36" s="6">
        <f>($Q$6/$R$6)*('Single Exponen'!K36-'Double Exponen'!K36)</f>
        <v>36939.443339054204</v>
      </c>
      <c r="L36" s="6">
        <f>($Q$6/$R$6)*('Single Exponen'!L36-'Double Exponen'!L36)</f>
        <v>38939.780941695695</v>
      </c>
      <c r="M36" s="6">
        <f>($Q$6/$R$6)*('Single Exponen'!M36-'Double Exponen'!M36)</f>
        <v>31449.023022144891</v>
      </c>
    </row>
    <row r="37" spans="1:13" x14ac:dyDescent="0.3">
      <c r="A37" s="1">
        <f>'Konstanta a'!A37</f>
        <v>0.7</v>
      </c>
      <c r="B37" s="1" t="str">
        <f>'Konstanta a'!B37</f>
        <v>T1</v>
      </c>
      <c r="C37" s="1" t="str">
        <f>'Konstanta a'!C37</f>
        <v>T2</v>
      </c>
      <c r="D37" s="1" t="str">
        <f>'Konstanta a'!D37</f>
        <v>T3</v>
      </c>
      <c r="E37" s="1" t="str">
        <f>'Konstanta a'!E37</f>
        <v>T4</v>
      </c>
      <c r="F37" s="1" t="str">
        <f>'Konstanta a'!F37</f>
        <v>T5</v>
      </c>
      <c r="G37" s="1" t="str">
        <f>'Konstanta a'!G37</f>
        <v>T6</v>
      </c>
      <c r="H37" s="1" t="str">
        <f>'Konstanta a'!H37</f>
        <v>T7</v>
      </c>
      <c r="I37" s="1" t="str">
        <f>'Konstanta a'!I37</f>
        <v>T8</v>
      </c>
      <c r="J37" s="1" t="str">
        <f>'Konstanta a'!J37</f>
        <v>T9</v>
      </c>
      <c r="K37" s="1" t="str">
        <f>'Konstanta a'!K37</f>
        <v>T10</v>
      </c>
      <c r="L37" s="1" t="str">
        <f>'Konstanta a'!L37</f>
        <v>T11</v>
      </c>
      <c r="M37" s="1" t="str">
        <f>'Konstanta a'!M37</f>
        <v>T12</v>
      </c>
    </row>
    <row r="38" spans="1:13" x14ac:dyDescent="0.3">
      <c r="A38" s="1" t="str">
        <f>'Konstanta a'!A38</f>
        <v>Oil A 20 LT</v>
      </c>
      <c r="B38" s="6">
        <f>($Q$7/$R$7)*('Single Exponen'!B38-'Double Exponen'!B38)</f>
        <v>0</v>
      </c>
      <c r="C38" s="6">
        <f>($Q$7/$R$7)*('Single Exponen'!C38-'Double Exponen'!C38)</f>
        <v>-11463.559799999999</v>
      </c>
      <c r="D38" s="6">
        <f>($Q$7/$R$7)*('Single Exponen'!D38-'Double Exponen'!D38)</f>
        <v>10110.78054</v>
      </c>
      <c r="E38" s="6">
        <f>($Q$7/$R$7)*('Single Exponen'!E38-'Double Exponen'!E38)</f>
        <v>638.53889399999446</v>
      </c>
      <c r="F38" s="6">
        <f>($Q$7/$R$7)*('Single Exponen'!F38-'Double Exponen'!F38)</f>
        <v>-4911.4697730000089</v>
      </c>
      <c r="G38" s="6">
        <f>($Q$7/$R$7)*('Single Exponen'!G38-'Double Exponen'!G38)</f>
        <v>-7404.3102289800099</v>
      </c>
      <c r="H38" s="6">
        <f>($Q$7/$R$7)*('Single Exponen'!H38-'Double Exponen'!H38)</f>
        <v>7258.5833639339889</v>
      </c>
      <c r="I38" s="6">
        <f>($Q$7/$R$7)*('Single Exponen'!I38-'Double Exponen'!I38)</f>
        <v>95.005398545389937</v>
      </c>
      <c r="J38" s="6">
        <f>($Q$7/$R$7)*('Single Exponen'!J38-'Double Exponen'!J38)</f>
        <v>-2073.8521300077077</v>
      </c>
      <c r="K38" s="6">
        <f>($Q$7/$R$7)*('Single Exponen'!K38-'Double Exponen'!K38)</f>
        <v>-6164.5927136165064</v>
      </c>
      <c r="L38" s="6">
        <f>($Q$7/$R$7)*('Single Exponen'!L38-'Double Exponen'!L38)</f>
        <v>7485.5355187622699</v>
      </c>
      <c r="M38" s="6">
        <f>($Q$7/$R$7)*('Single Exponen'!M38-'Double Exponen'!M38)</f>
        <v>1467.5794551911783</v>
      </c>
    </row>
    <row r="39" spans="1:13" x14ac:dyDescent="0.3">
      <c r="A39" s="1" t="str">
        <f>'Konstanta a'!A39</f>
        <v>Oil A 200 LT</v>
      </c>
      <c r="B39" s="6">
        <f>($Q$7/$R$7)*('Single Exponen'!B39-'Double Exponen'!B39)</f>
        <v>0</v>
      </c>
      <c r="C39" s="6">
        <f>($Q$7/$R$7)*('Single Exponen'!C39-'Double Exponen'!C39)</f>
        <v>-92161.679399999979</v>
      </c>
      <c r="D39" s="6">
        <f>($Q$7/$R$7)*('Single Exponen'!D39-'Double Exponen'!D39)</f>
        <v>-122327.23188000014</v>
      </c>
      <c r="E39" s="6">
        <f>($Q$7/$R$7)*('Single Exponen'!E39-'Double Exponen'!E39)</f>
        <v>49588.701581999791</v>
      </c>
      <c r="F39" s="6">
        <f>($Q$7/$R$7)*('Single Exponen'!F39-'Double Exponen'!F39)</f>
        <v>-355557.24989400012</v>
      </c>
      <c r="G39" s="6">
        <f>($Q$7/$R$7)*('Single Exponen'!G39-'Double Exponen'!G39)</f>
        <v>-179585.08589994014</v>
      </c>
      <c r="H39" s="6">
        <f>($Q$7/$R$7)*('Single Exponen'!H39-'Double Exponen'!H39)</f>
        <v>5752.4679914518683</v>
      </c>
      <c r="I39" s="6">
        <f>($Q$7/$R$7)*('Single Exponen'!I39-'Double Exponen'!I39)</f>
        <v>126512.73938272605</v>
      </c>
      <c r="J39" s="6">
        <f>($Q$7/$R$7)*('Single Exponen'!J39-'Double Exponen'!J39)</f>
        <v>152186.85070157915</v>
      </c>
      <c r="K39" s="6">
        <f>($Q$7/$R$7)*('Single Exponen'!K39-'Double Exponen'!K39)</f>
        <v>166919.07340855888</v>
      </c>
      <c r="L39" s="6">
        <f>($Q$7/$R$7)*('Single Exponen'!L39-'Double Exponen'!L39)</f>
        <v>93045.533400844186</v>
      </c>
      <c r="M39" s="6">
        <f>($Q$7/$R$7)*('Single Exponen'!M39-'Double Exponen'!M39)</f>
        <v>-10117.110139297884</v>
      </c>
    </row>
    <row r="40" spans="1:13" x14ac:dyDescent="0.3">
      <c r="A40" s="1" t="str">
        <f>'Konstanta a'!A40</f>
        <v>Oil A 1000 LT</v>
      </c>
      <c r="B40" s="6">
        <f>($Q$7/$R$7)*('Single Exponen'!B40-'Double Exponen'!B40)</f>
        <v>0</v>
      </c>
      <c r="C40" s="6">
        <f>($Q$7/$R$7)*('Single Exponen'!C40-'Double Exponen'!C40)</f>
        <v>27574.700999999979</v>
      </c>
      <c r="D40" s="6">
        <f>($Q$7/$R$7)*('Single Exponen'!D40-'Double Exponen'!D40)</f>
        <v>13296.5322</v>
      </c>
      <c r="E40" s="6">
        <f>($Q$7/$R$7)*('Single Exponen'!E40-'Double Exponen'!E40)</f>
        <v>24129.419369999996</v>
      </c>
      <c r="F40" s="6">
        <f>($Q$7/$R$7)*('Single Exponen'!F40-'Double Exponen'!F40)</f>
        <v>2557.7485500000107</v>
      </c>
      <c r="G40" s="6">
        <f>($Q$7/$R$7)*('Single Exponen'!G40-'Double Exponen'!G40)</f>
        <v>45586.646030099997</v>
      </c>
      <c r="H40" s="6">
        <f>($Q$7/$R$7)*('Single Exponen'!H40-'Double Exponen'!H40)</f>
        <v>92997.489127619963</v>
      </c>
      <c r="I40" s="6">
        <f>($Q$7/$R$7)*('Single Exponen'!I40-'Double Exponen'!I40)</f>
        <v>55653.847525016979</v>
      </c>
      <c r="J40" s="6">
        <f>($Q$7/$R$7)*('Single Exponen'!J40-'Double Exponen'!J40)</f>
        <v>-21224.094034437006</v>
      </c>
      <c r="K40" s="6">
        <f>($Q$7/$R$7)*('Single Exponen'!K40-'Double Exponen'!K40)</f>
        <v>-21458.216673078987</v>
      </c>
      <c r="L40" s="6">
        <f>($Q$7/$R$7)*('Single Exponen'!L40-'Double Exponen'!L40)</f>
        <v>-16130.322618396818</v>
      </c>
      <c r="M40" s="6">
        <f>($Q$7/$R$7)*('Single Exponen'!M40-'Double Exponen'!M40)</f>
        <v>-3284.2816403448555</v>
      </c>
    </row>
    <row r="41" spans="1:13" x14ac:dyDescent="0.3">
      <c r="A41" s="1" t="str">
        <f>'Konstanta a'!A41</f>
        <v>Oil B 20 LT</v>
      </c>
      <c r="B41" s="6">
        <f>($Q$7/$R$7)*('Single Exponen'!B41-'Double Exponen'!B41)</f>
        <v>0</v>
      </c>
      <c r="C41" s="6">
        <f>($Q$7/$R$7)*('Single Exponen'!C41-'Double Exponen'!C41)</f>
        <v>5801.134500000001</v>
      </c>
      <c r="D41" s="6">
        <f>($Q$7/$R$7)*('Single Exponen'!D41-'Double Exponen'!D41)</f>
        <v>5997.7029000000002</v>
      </c>
      <c r="E41" s="6">
        <f>($Q$7/$R$7)*('Single Exponen'!E41-'Double Exponen'!E41)</f>
        <v>3505.478865000001</v>
      </c>
      <c r="F41" s="6">
        <f>($Q$7/$R$7)*('Single Exponen'!F41-'Double Exponen'!F41)</f>
        <v>60143.633654999991</v>
      </c>
      <c r="G41" s="6">
        <f>($Q$7/$R$7)*('Single Exponen'!G41-'Double Exponen'!G41)</f>
        <v>14256.64849245</v>
      </c>
      <c r="H41" s="6">
        <f>($Q$7/$R$7)*('Single Exponen'!H41-'Double Exponen'!H41)</f>
        <v>3345.6914040899974</v>
      </c>
      <c r="I41" s="6">
        <f>($Q$7/$R$7)*('Single Exponen'!I41-'Double Exponen'!I41)</f>
        <v>12757.980891946494</v>
      </c>
      <c r="J41" s="6">
        <f>($Q$7/$R$7)*('Single Exponen'!J41-'Double Exponen'!J41)</f>
        <v>14476.800391231493</v>
      </c>
      <c r="K41" s="6">
        <f>($Q$7/$R$7)*('Single Exponen'!K41-'Double Exponen'!K41)</f>
        <v>40277.549628652232</v>
      </c>
      <c r="L41" s="6">
        <f>($Q$7/$R$7)*('Single Exponen'!L41-'Double Exponen'!L41)</f>
        <v>2347.3374487501874</v>
      </c>
      <c r="M41" s="6">
        <f>($Q$7/$R$7)*('Single Exponen'!M41-'Double Exponen'!M41)</f>
        <v>-5326.667661235876</v>
      </c>
    </row>
    <row r="42" spans="1:13" x14ac:dyDescent="0.3">
      <c r="A42" s="1" t="str">
        <f>'Konstanta a'!A42</f>
        <v>Oil B 200 LT</v>
      </c>
      <c r="B42" s="6">
        <f>($Q$7/$R$7)*('Single Exponen'!B42-'Double Exponen'!B42)</f>
        <v>0</v>
      </c>
      <c r="C42" s="6">
        <f>($Q$7/$R$7)*('Single Exponen'!C42-'Double Exponen'!C42)</f>
        <v>35933.944199999991</v>
      </c>
      <c r="D42" s="6">
        <f>($Q$7/$R$7)*('Single Exponen'!D42-'Double Exponen'!D42)</f>
        <v>34328.78063999999</v>
      </c>
      <c r="E42" s="6">
        <f>($Q$7/$R$7)*('Single Exponen'!E42-'Double Exponen'!E42)</f>
        <v>30549.925434000001</v>
      </c>
      <c r="F42" s="6">
        <f>($Q$7/$R$7)*('Single Exponen'!F42-'Double Exponen'!F42)</f>
        <v>39144.818747999991</v>
      </c>
      <c r="G42" s="6">
        <f>($Q$7/$R$7)*('Single Exponen'!G42-'Double Exponen'!G42)</f>
        <v>24931.836930419999</v>
      </c>
      <c r="H42" s="6">
        <f>($Q$7/$R$7)*('Single Exponen'!H42-'Double Exponen'!H42)</f>
        <v>72107.329754543971</v>
      </c>
      <c r="I42" s="6">
        <f>($Q$7/$R$7)*('Single Exponen'!I42-'Double Exponen'!I42)</f>
        <v>48361.27913423939</v>
      </c>
      <c r="J42" s="6">
        <f>($Q$7/$R$7)*('Single Exponen'!J42-'Double Exponen'!J42)</f>
        <v>33492.379727360392</v>
      </c>
      <c r="K42" s="6">
        <f>($Q$7/$R$7)*('Single Exponen'!K42-'Double Exponen'!K42)</f>
        <v>60289.836506587824</v>
      </c>
      <c r="L42" s="6">
        <f>($Q$7/$R$7)*('Single Exponen'!L42-'Double Exponen'!L42)</f>
        <v>61940.142681518082</v>
      </c>
      <c r="M42" s="6">
        <f>($Q$7/$R$7)*('Single Exponen'!M42-'Double Exponen'!M42)</f>
        <v>47388.799161042982</v>
      </c>
    </row>
    <row r="43" spans="1:13" x14ac:dyDescent="0.3">
      <c r="A43" s="1">
        <f>'Konstanta a'!A43</f>
        <v>0.8</v>
      </c>
      <c r="B43" s="1" t="str">
        <f>'Konstanta a'!B43</f>
        <v>T1</v>
      </c>
      <c r="C43" s="1" t="str">
        <f>'Konstanta a'!C43</f>
        <v>T2</v>
      </c>
      <c r="D43" s="1" t="str">
        <f>'Konstanta a'!D43</f>
        <v>T3</v>
      </c>
      <c r="E43" s="1" t="str">
        <f>'Konstanta a'!E43</f>
        <v>T4</v>
      </c>
      <c r="F43" s="1" t="str">
        <f>'Konstanta a'!F43</f>
        <v>T5</v>
      </c>
      <c r="G43" s="1" t="str">
        <f>'Konstanta a'!G43</f>
        <v>T6</v>
      </c>
      <c r="H43" s="1" t="str">
        <f>'Konstanta a'!H43</f>
        <v>T7</v>
      </c>
      <c r="I43" s="1" t="str">
        <f>'Konstanta a'!I43</f>
        <v>T8</v>
      </c>
      <c r="J43" s="1" t="str">
        <f>'Konstanta a'!J43</f>
        <v>T9</v>
      </c>
      <c r="K43" s="1" t="str">
        <f>'Konstanta a'!K43</f>
        <v>T10</v>
      </c>
      <c r="L43" s="1" t="str">
        <f>'Konstanta a'!L43</f>
        <v>T11</v>
      </c>
      <c r="M43" s="1" t="str">
        <f>'Konstanta a'!M43</f>
        <v>T12</v>
      </c>
    </row>
    <row r="44" spans="1:13" x14ac:dyDescent="0.3">
      <c r="A44" s="1" t="str">
        <f>'Konstanta a'!A44</f>
        <v>Oil A 20 LT</v>
      </c>
      <c r="B44" s="6">
        <f>($Q$8/$R$8)*('Single Exponen'!B44-'Double Exponen'!B44)</f>
        <v>0</v>
      </c>
      <c r="C44" s="6">
        <f>($Q$8/$R$8)*('Single Exponen'!C44-'Double Exponen'!C44)</f>
        <v>-22459.219199999985</v>
      </c>
      <c r="D44" s="6">
        <f>($Q$8/$R$8)*('Single Exponen'!D44-'Double Exponen'!D44)</f>
        <v>22054.798079999982</v>
      </c>
      <c r="E44" s="6">
        <f>($Q$8/$R$8)*('Single Exponen'!E44-'Double Exponen'!E44)</f>
        <v>-280.68825600000844</v>
      </c>
      <c r="F44" s="6">
        <f>($Q$8/$R$8)*('Single Exponen'!F44-'Double Exponen'!F44)</f>
        <v>-10053.913536000004</v>
      </c>
      <c r="G44" s="6">
        <f>($Q$8/$R$8)*('Single Exponen'!G44-'Double Exponen'!G44)</f>
        <v>-13630.445003520008</v>
      </c>
      <c r="H44" s="6">
        <f>($Q$8/$R$8)*('Single Exponen'!H44-'Double Exponen'!H44)</f>
        <v>15846.730132607976</v>
      </c>
      <c r="I44" s="6">
        <f>($Q$8/$R$8)*('Single Exponen'!I44-'Double Exponen'!I44)</f>
        <v>-910.79035349761352</v>
      </c>
      <c r="J44" s="6">
        <f>($Q$8/$R$8)*('Single Exponen'!J44-'Double Exponen'!J44)</f>
        <v>-4301.0552127168103</v>
      </c>
      <c r="K44" s="6">
        <f>($Q$8/$R$8)*('Single Exponen'!K44-'Double Exponen'!K44)</f>
        <v>-11718.863270358926</v>
      </c>
      <c r="L44" s="6">
        <f>($Q$8/$R$8)*('Single Exponen'!L44-'Double Exponen'!L44)</f>
        <v>15945.037140894194</v>
      </c>
      <c r="M44" s="6">
        <f>($Q$8/$R$8)*('Single Exponen'!M44-'Double Exponen'!M44)</f>
        <v>1664.6034436482216</v>
      </c>
    </row>
    <row r="45" spans="1:13" x14ac:dyDescent="0.3">
      <c r="A45" s="1" t="str">
        <f>'Konstanta a'!A45</f>
        <v>Oil A 200 LT</v>
      </c>
      <c r="B45" s="6">
        <f>($Q$8/$R$8)*('Single Exponen'!B45-'Double Exponen'!B45)</f>
        <v>0</v>
      </c>
      <c r="C45" s="6">
        <f>($Q$8/$R$8)*('Single Exponen'!C45-'Double Exponen'!C45)</f>
        <v>-180561.65760000018</v>
      </c>
      <c r="D45" s="6">
        <f>($Q$8/$R$8)*('Single Exponen'!D45-'Double Exponen'!D45)</f>
        <v>-221605.34976000004</v>
      </c>
      <c r="E45" s="6">
        <f>($Q$8/$R$8)*('Single Exponen'!E45-'Double Exponen'!E45)</f>
        <v>124730.75923199992</v>
      </c>
      <c r="F45" s="6">
        <f>($Q$8/$R$8)*('Single Exponen'!F45-'Double Exponen'!F45)</f>
        <v>-700801.81948799954</v>
      </c>
      <c r="G45" s="6">
        <f>($Q$8/$R$8)*('Single Exponen'!G45-'Double Exponen'!G45)</f>
        <v>-283019.94449856027</v>
      </c>
      <c r="H45" s="6">
        <f>($Q$8/$R$8)*('Single Exponen'!H45-'Double Exponen'!H45)</f>
        <v>60218.202959423623</v>
      </c>
      <c r="I45" s="6">
        <f>($Q$8/$R$8)*('Single Exponen'!I45-'Double Exponen'!I45)</f>
        <v>256524.29166510643</v>
      </c>
      <c r="J45" s="6">
        <f>($Q$8/$R$8)*('Single Exponen'!J45-'Double Exponen'!J45)</f>
        <v>275108.34349892091</v>
      </c>
      <c r="K45" s="6">
        <f>($Q$8/$R$8)*('Single Exponen'!K45-'Double Exponen'!K45)</f>
        <v>292598.19414909359</v>
      </c>
      <c r="L45" s="6">
        <f>($Q$8/$R$8)*('Single Exponen'!L45-'Double Exponen'!L45)</f>
        <v>142705.39173419721</v>
      </c>
      <c r="M45" s="6">
        <f>($Q$8/$R$8)*('Single Exponen'!M45-'Double Exponen'!M45)</f>
        <v>-45968.185639219802</v>
      </c>
    </row>
    <row r="46" spans="1:13" x14ac:dyDescent="0.3">
      <c r="A46" s="1" t="str">
        <f>'Konstanta a'!A46</f>
        <v>Oil A 1000 LT</v>
      </c>
      <c r="B46" s="6">
        <f>($Q$8/$R$8)*('Single Exponen'!B46-'Double Exponen'!B46)</f>
        <v>0</v>
      </c>
      <c r="C46" s="6">
        <f>($Q$8/$R$8)*('Single Exponen'!C46-'Double Exponen'!C46)</f>
        <v>54023.903999999973</v>
      </c>
      <c r="D46" s="6">
        <f>($Q$8/$R$8)*('Single Exponen'!D46-'Double Exponen'!D46)</f>
        <v>20647.958399999992</v>
      </c>
      <c r="E46" s="6">
        <f>($Q$8/$R$8)*('Single Exponen'!E46-'Double Exponen'!E46)</f>
        <v>43588.451519999981</v>
      </c>
      <c r="F46" s="6">
        <f>($Q$8/$R$8)*('Single Exponen'!F46-'Double Exponen'!F46)</f>
        <v>-453.39983999999799</v>
      </c>
      <c r="G46" s="6">
        <f>($Q$8/$R$8)*('Single Exponen'!G46-'Double Exponen'!G46)</f>
        <v>87718.602902399944</v>
      </c>
      <c r="H46" s="6">
        <f>($Q$8/$R$8)*('Single Exponen'!H46-'Double Exponen'!H46)</f>
        <v>172949.09916383983</v>
      </c>
      <c r="I46" s="6">
        <f>($Q$8/$R$8)*('Single Exponen'!I46-'Double Exponen'!I46)</f>
        <v>88966.180557791915</v>
      </c>
      <c r="J46" s="6">
        <f>($Q$8/$R$8)*('Single Exponen'!J46-'Double Exponen'!J46)</f>
        <v>-56499.495235919989</v>
      </c>
      <c r="K46" s="6">
        <f>($Q$8/$R$8)*('Single Exponen'!K46-'Double Exponen'!K46)</f>
        <v>-40865.917259914568</v>
      </c>
      <c r="L46" s="6">
        <f>($Q$8/$R$8)*('Single Exponen'!L46-'Double Exponen'!L46)</f>
        <v>-27163.271843440441</v>
      </c>
      <c r="M46" s="6">
        <f>($Q$8/$R$8)*('Single Exponen'!M46-'Double Exponen'!M46)</f>
        <v>-2386.4859209998676</v>
      </c>
    </row>
    <row r="47" spans="1:13" x14ac:dyDescent="0.3">
      <c r="A47" s="1" t="str">
        <f>'Konstanta a'!A47</f>
        <v>Oil B 20 LT</v>
      </c>
      <c r="B47" s="6">
        <f>($Q$8/$R$8)*('Single Exponen'!B47-'Double Exponen'!B47)</f>
        <v>0</v>
      </c>
      <c r="C47" s="6">
        <f>($Q$8/$R$8)*('Single Exponen'!C47-'Double Exponen'!C47)</f>
        <v>11365.487999999992</v>
      </c>
      <c r="D47" s="6">
        <f>($Q$8/$R$8)*('Single Exponen'!D47-'Double Exponen'!D47)</f>
        <v>10614.052799999996</v>
      </c>
      <c r="E47" s="6">
        <f>($Q$8/$R$8)*('Single Exponen'!E47-'Double Exponen'!E47)</f>
        <v>5465.5070399999977</v>
      </c>
      <c r="F47" s="6">
        <f>($Q$8/$R$8)*('Single Exponen'!F47-'Double Exponen'!F47)</f>
        <v>116865.16343999992</v>
      </c>
      <c r="G47" s="6">
        <f>($Q$8/$R$8)*('Single Exponen'!G47-'Double Exponen'!G47)</f>
        <v>15954.698116799998</v>
      </c>
      <c r="H47" s="6">
        <f>($Q$8/$R$8)*('Single Exponen'!H47-'Double Exponen'!H47)</f>
        <v>1366.3457092800011</v>
      </c>
      <c r="I47" s="6">
        <f>($Q$8/$R$8)*('Single Exponen'!I47-'Double Exponen'!I47)</f>
        <v>23302.049819183983</v>
      </c>
      <c r="J47" s="6">
        <f>($Q$8/$R$8)*('Single Exponen'!J47-'Double Exponen'!J47)</f>
        <v>25524.552573431985</v>
      </c>
      <c r="K47" s="6">
        <f>($Q$8/$R$8)*('Single Exponen'!K47-'Double Exponen'!K47)</f>
        <v>75507.21486332202</v>
      </c>
      <c r="L47" s="6">
        <f>($Q$8/$R$8)*('Single Exponen'!L47-'Double Exponen'!L47)</f>
        <v>-3973.0271135634812</v>
      </c>
      <c r="M47" s="6">
        <f>($Q$8/$R$8)*('Single Exponen'!M47-'Double Exponen'!M47)</f>
        <v>-12610.185300317791</v>
      </c>
    </row>
    <row r="48" spans="1:13" x14ac:dyDescent="0.3">
      <c r="A48" s="1" t="str">
        <f>'Konstanta a'!A48</f>
        <v>Oil B 200 LT</v>
      </c>
      <c r="B48" s="6">
        <f>($Q$8/$R$8)*('Single Exponen'!B48-'Double Exponen'!B48)</f>
        <v>0</v>
      </c>
      <c r="C48" s="6">
        <f>($Q$8/$R$8)*('Single Exponen'!C48-'Double Exponen'!C48)</f>
        <v>70401.196799999976</v>
      </c>
      <c r="D48" s="6">
        <f>($Q$8/$R$8)*('Single Exponen'!D48-'Double Exponen'!D48)</f>
        <v>60216.266879999966</v>
      </c>
      <c r="E48" s="6">
        <f>($Q$8/$R$8)*('Single Exponen'!E48-'Double Exponen'!E48)</f>
        <v>51719.252543999981</v>
      </c>
      <c r="F48" s="6">
        <f>($Q$8/$R$8)*('Single Exponen'!F48-'Double Exponen'!F48)</f>
        <v>69079.865759999957</v>
      </c>
      <c r="G48" s="6">
        <f>($Q$8/$R$8)*('Single Exponen'!G48-'Double Exponen'!G48)</f>
        <v>39654.454078079994</v>
      </c>
      <c r="H48" s="6">
        <f>($Q$8/$R$8)*('Single Exponen'!H48-'Double Exponen'!H48)</f>
        <v>134548.57964908791</v>
      </c>
      <c r="I48" s="6">
        <f>($Q$8/$R$8)*('Single Exponen'!I48-'Double Exponen'!I48)</f>
        <v>79276.893479942359</v>
      </c>
      <c r="J48" s="6">
        <f>($Q$8/$R$8)*('Single Exponen'!J48-'Double Exponen'!J48)</f>
        <v>53048.513691100779</v>
      </c>
      <c r="K48" s="6">
        <f>($Q$8/$R$8)*('Single Exponen'!K48-'Double Exponen'!K48)</f>
        <v>109043.24903382119</v>
      </c>
      <c r="L48" s="6">
        <f>($Q$8/$R$8)*('Single Exponen'!L48-'Double Exponen'!L48)</f>
        <v>107725.10707280516</v>
      </c>
      <c r="M48" s="6">
        <f>($Q$8/$R$8)*('Single Exponen'!M48-'Double Exponen'!M48)</f>
        <v>77982.748153997876</v>
      </c>
    </row>
    <row r="49" spans="1:13" x14ac:dyDescent="0.3">
      <c r="A49" s="1">
        <f>'Konstanta a'!A49</f>
        <v>0.9</v>
      </c>
      <c r="B49" s="1" t="str">
        <f>'Konstanta a'!B49</f>
        <v>T1</v>
      </c>
      <c r="C49" s="1" t="str">
        <f>'Konstanta a'!C49</f>
        <v>T2</v>
      </c>
      <c r="D49" s="1" t="str">
        <f>'Konstanta a'!D49</f>
        <v>T3</v>
      </c>
      <c r="E49" s="1" t="str">
        <f>'Konstanta a'!E49</f>
        <v>T4</v>
      </c>
      <c r="F49" s="1" t="str">
        <f>'Konstanta a'!F49</f>
        <v>T5</v>
      </c>
      <c r="G49" s="1" t="str">
        <f>'Konstanta a'!G49</f>
        <v>T6</v>
      </c>
      <c r="H49" s="1" t="str">
        <f>'Konstanta a'!H49</f>
        <v>T7</v>
      </c>
      <c r="I49" s="1" t="str">
        <f>'Konstanta a'!I49</f>
        <v>T8</v>
      </c>
      <c r="J49" s="1" t="str">
        <f>'Konstanta a'!J49</f>
        <v>T9</v>
      </c>
      <c r="K49" s="1" t="str">
        <f>'Konstanta a'!K49</f>
        <v>T10</v>
      </c>
      <c r="L49" s="1" t="str">
        <f>'Konstanta a'!L49</f>
        <v>T11</v>
      </c>
      <c r="M49" s="1" t="str">
        <f>'Konstanta a'!M49</f>
        <v>T12</v>
      </c>
    </row>
    <row r="50" spans="1:13" x14ac:dyDescent="0.3">
      <c r="A50" s="1" t="str">
        <f>'Konstanta a'!A50</f>
        <v>Oil A 20 LT</v>
      </c>
      <c r="B50" s="6">
        <f>($Q$9/$R$9)*('Single Exponen'!B50-'Double Exponen'!B50)</f>
        <v>0</v>
      </c>
      <c r="C50" s="6">
        <f>($Q$9/$R$9)*('Single Exponen'!C50-'Double Exponen'!C50)</f>
        <v>-56849.898599999942</v>
      </c>
      <c r="D50" s="6">
        <f>($Q$9/$R$9)*('Single Exponen'!D50-'Double Exponen'!D50)</f>
        <v>61511.1974999999</v>
      </c>
      <c r="E50" s="6">
        <f>($Q$9/$R$9)*('Single Exponen'!E50-'Double Exponen'!E50)</f>
        <v>-5724.6139260000182</v>
      </c>
      <c r="F50" s="6">
        <f>($Q$9/$R$9)*('Single Exponen'!F50-'Double Exponen'!F50)</f>
        <v>-25879.331601000016</v>
      </c>
      <c r="G50" s="6">
        <f>($Q$9/$R$9)*('Single Exponen'!G50-'Double Exponen'!G50)</f>
        <v>-32000.203347660005</v>
      </c>
      <c r="H50" s="6">
        <f>($Q$9/$R$9)*('Single Exponen'!H50-'Double Exponen'!H50)</f>
        <v>43812.428096429947</v>
      </c>
      <c r="I50" s="6">
        <f>($Q$9/$R$9)*('Single Exponen'!I50-'Double Exponen'!I50)</f>
        <v>-5946.6024022806214</v>
      </c>
      <c r="J50" s="6">
        <f>($Q$9/$R$9)*('Single Exponen'!J50-'Double Exponen'!J50)</f>
        <v>-11020.618630959343</v>
      </c>
      <c r="K50" s="6">
        <f>($Q$9/$R$9)*('Single Exponen'!K50-'Double Exponen'!K50)</f>
        <v>-28588.025314754064</v>
      </c>
      <c r="L50" s="6">
        <f>($Q$9/$R$9)*('Single Exponen'!L50-'Double Exponen'!L50)</f>
        <v>43434.747262032186</v>
      </c>
      <c r="M50" s="6">
        <f>($Q$9/$R$9)*('Single Exponen'!M50-'Double Exponen'!M50)</f>
        <v>484.82714036009884</v>
      </c>
    </row>
    <row r="51" spans="1:13" x14ac:dyDescent="0.3">
      <c r="A51" s="1" t="str">
        <f>'Konstanta a'!A51</f>
        <v>Oil A 200 LT</v>
      </c>
      <c r="B51" s="6">
        <f>($Q$9/$R$9)*('Single Exponen'!B51-'Double Exponen'!B51)</f>
        <v>0</v>
      </c>
      <c r="C51" s="6">
        <f>($Q$9/$R$9)*('Single Exponen'!C51-'Double Exponen'!C51)</f>
        <v>-457046.69579999975</v>
      </c>
      <c r="D51" s="6">
        <f>($Q$9/$R$9)*('Single Exponen'!D51-'Double Exponen'!D51)</f>
        <v>-515233.87199999986</v>
      </c>
      <c r="E51" s="6">
        <f>($Q$9/$R$9)*('Single Exponen'!E51-'Double Exponen'!E51)</f>
        <v>376389.05542199942</v>
      </c>
      <c r="F51" s="6">
        <f>($Q$9/$R$9)*('Single Exponen'!F51-'Double Exponen'!F51)</f>
        <v>-1799410.6468979984</v>
      </c>
      <c r="G51" s="6">
        <f>($Q$9/$R$9)*('Single Exponen'!G51-'Double Exponen'!G51)</f>
        <v>-541554.37808598031</v>
      </c>
      <c r="H51" s="6">
        <f>($Q$9/$R$9)*('Single Exponen'!H51-'Double Exponen'!H51)</f>
        <v>241550.73533483938</v>
      </c>
      <c r="I51" s="6">
        <f>($Q$9/$R$9)*('Single Exponen'!I51-'Double Exponen'!I51)</f>
        <v>642996.72156257648</v>
      </c>
      <c r="J51" s="6">
        <f>($Q$9/$R$9)*('Single Exponen'!J51-'Double Exponen'!J51)</f>
        <v>630802.24398244079</v>
      </c>
      <c r="K51" s="6">
        <f>($Q$9/$R$9)*('Single Exponen'!K51-'Double Exponen'!K51)</f>
        <v>664445.80444180837</v>
      </c>
      <c r="L51" s="6">
        <f>($Q$9/$R$9)*('Single Exponen'!L51-'Double Exponen'!L51)</f>
        <v>279539.76748338901</v>
      </c>
      <c r="M51" s="6">
        <f>($Q$9/$R$9)*('Single Exponen'!M51-'Double Exponen'!M51)</f>
        <v>-160647.59771637342</v>
      </c>
    </row>
    <row r="52" spans="1:13" x14ac:dyDescent="0.3">
      <c r="A52" s="1" t="str">
        <f>'Konstanta a'!A52</f>
        <v>Oil A 1000 LT</v>
      </c>
      <c r="B52" s="6">
        <f>($Q$9/$R$9)*('Single Exponen'!B52-'Double Exponen'!B52)</f>
        <v>0</v>
      </c>
      <c r="C52" s="6">
        <f>($Q$9/$R$9)*('Single Exponen'!C52-'Double Exponen'!C52)</f>
        <v>136748.00699999984</v>
      </c>
      <c r="D52" s="6">
        <f>($Q$9/$R$9)*('Single Exponen'!D52-'Double Exponen'!D52)</f>
        <v>38590.344000000019</v>
      </c>
      <c r="E52" s="6">
        <f>($Q$9/$R$9)*('Single Exponen'!E52-'Double Exponen'!E52)</f>
        <v>103739.27336999994</v>
      </c>
      <c r="F52" s="6">
        <f>($Q$9/$R$9)*('Single Exponen'!F52-'Double Exponen'!F52)</f>
        <v>-12840.394589999994</v>
      </c>
      <c r="G52" s="6">
        <f>($Q$9/$R$9)*('Single Exponen'!G52-'Double Exponen'!G52)</f>
        <v>220983.20780669973</v>
      </c>
      <c r="H52" s="6">
        <f>($Q$9/$R$9)*('Single Exponen'!H52-'Double Exponen'!H52)</f>
        <v>415468.18531979946</v>
      </c>
      <c r="I52" s="6">
        <f>($Q$9/$R$9)*('Single Exponen'!I52-'Double Exponen'!I52)</f>
        <v>179186.9816171967</v>
      </c>
      <c r="J52" s="6">
        <f>($Q$9/$R$9)*('Single Exponen'!J52-'Double Exponen'!J52)</f>
        <v>-170134.77806158486</v>
      </c>
      <c r="K52" s="6">
        <f>($Q$9/$R$9)*('Single Exponen'!K52-'Double Exponen'!K52)</f>
        <v>-91852.461407132694</v>
      </c>
      <c r="L52" s="6">
        <f>($Q$9/$R$9)*('Single Exponen'!L52-'Double Exponen'!L52)</f>
        <v>-57253.907381590056</v>
      </c>
      <c r="M52" s="6">
        <f>($Q$9/$R$9)*('Single Exponen'!M52-'Double Exponen'!M52)</f>
        <v>1985.2231450517627</v>
      </c>
    </row>
    <row r="53" spans="1:13" x14ac:dyDescent="0.3">
      <c r="A53" s="1" t="str">
        <f>'Konstanta a'!A53</f>
        <v>Oil B 20 LT</v>
      </c>
      <c r="B53" s="6">
        <f>($Q$9/$R$9)*('Single Exponen'!B53-'Double Exponen'!B53)</f>
        <v>0</v>
      </c>
      <c r="C53" s="6">
        <f>($Q$9/$R$9)*('Single Exponen'!C53-'Double Exponen'!C53)</f>
        <v>28768.891499999969</v>
      </c>
      <c r="D53" s="6">
        <f>($Q$9/$R$9)*('Single Exponen'!D53-'Double Exponen'!D53)</f>
        <v>23989.931999999975</v>
      </c>
      <c r="E53" s="6">
        <f>($Q$9/$R$9)*('Single Exponen'!E53-'Double Exponen'!E53)</f>
        <v>10860.193664999997</v>
      </c>
      <c r="F53" s="6">
        <f>($Q$9/$R$9)*('Single Exponen'!F53-'Double Exponen'!F53)</f>
        <v>294134.05138499971</v>
      </c>
      <c r="G53" s="6">
        <f>($Q$9/$R$9)*('Single Exponen'!G53-'Double Exponen'!G53)</f>
        <v>10635.745755150032</v>
      </c>
      <c r="H53" s="6">
        <f>($Q$9/$R$9)*('Single Exponen'!H53-'Double Exponen'!H53)</f>
        <v>-3554.9287694999966</v>
      </c>
      <c r="I53" s="6">
        <f>($Q$9/$R$9)*('Single Exponen'!I53-'Double Exponen'!I53)</f>
        <v>57936.108212536419</v>
      </c>
      <c r="J53" s="6">
        <f>($Q$9/$R$9)*('Single Exponen'!J53-'Double Exponen'!J53)</f>
        <v>58605.97180179142</v>
      </c>
      <c r="K53" s="6">
        <f>($Q$9/$R$9)*('Single Exponen'!K53-'Double Exponen'!K53)</f>
        <v>184066.43006266298</v>
      </c>
      <c r="L53" s="6">
        <f>($Q$9/$R$9)*('Single Exponen'!L53-'Double Exponen'!L53)</f>
        <v>-29875.609399497993</v>
      </c>
      <c r="M53" s="6">
        <f>($Q$9/$R$9)*('Single Exponen'!M53-'Double Exponen'!M53)</f>
        <v>-32895.74750513769</v>
      </c>
    </row>
    <row r="54" spans="1:13" x14ac:dyDescent="0.3">
      <c r="A54" s="1" t="str">
        <f>'Konstanta a'!A54</f>
        <v>Oil B 200 LT</v>
      </c>
      <c r="B54" s="6">
        <f>($Q$9/$R$9)*('Single Exponen'!B54-'Double Exponen'!B54)</f>
        <v>0</v>
      </c>
      <c r="C54" s="6">
        <f>($Q$9/$R$9)*('Single Exponen'!C54-'Double Exponen'!C54)</f>
        <v>178203.02939999982</v>
      </c>
      <c r="D54" s="6">
        <f>($Q$9/$R$9)*('Single Exponen'!D54-'Double Exponen'!D54)</f>
        <v>134602.12259999989</v>
      </c>
      <c r="E54" s="6">
        <f>($Q$9/$R$9)*('Single Exponen'!E54-'Double Exponen'!E54)</f>
        <v>113890.08515399991</v>
      </c>
      <c r="F54" s="6">
        <f>($Q$9/$R$9)*('Single Exponen'!F54-'Double Exponen'!F54)</f>
        <v>160064.5471199998</v>
      </c>
      <c r="G54" s="6">
        <f>($Q$9/$R$9)*('Single Exponen'!G54-'Double Exponen'!G54)</f>
        <v>81410.109556139927</v>
      </c>
      <c r="H54" s="6">
        <f>($Q$9/$R$9)*('Single Exponen'!H54-'Double Exponen'!H54)</f>
        <v>328642.03581533959</v>
      </c>
      <c r="I54" s="6">
        <f>($Q$9/$R$9)*('Single Exponen'!I54-'Double Exponen'!I54)</f>
        <v>165418.62175528723</v>
      </c>
      <c r="J54" s="6">
        <f>($Q$9/$R$9)*('Single Exponen'!J54-'Double Exponen'!J54)</f>
        <v>110686.98513190664</v>
      </c>
      <c r="K54" s="6">
        <f>($Q$9/$R$9)*('Single Exponen'!K54-'Double Exponen'!K54)</f>
        <v>260228.61257393062</v>
      </c>
      <c r="L54" s="6">
        <f>($Q$9/$R$9)*('Single Exponen'!L54-'Double Exponen'!L54)</f>
        <v>243498.89371205898</v>
      </c>
      <c r="M54" s="6">
        <f>($Q$9/$R$9)*('Single Exponen'!M54-'Double Exponen'!M54)</f>
        <v>167207.88518040528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0DC32-F0F7-4B39-B9F7-F919453C9C6D}">
  <dimension ref="A1:AB54"/>
  <sheetViews>
    <sheetView workbookViewId="0">
      <selection activeCell="P2" sqref="P2"/>
    </sheetView>
  </sheetViews>
  <sheetFormatPr defaultColWidth="8.88671875" defaultRowHeight="14.4" x14ac:dyDescent="0.3"/>
  <cols>
    <col min="1" max="1" width="14.109375" style="1" bestFit="1" customWidth="1"/>
    <col min="2" max="2" width="4.44140625" style="1" bestFit="1" customWidth="1"/>
    <col min="3" max="3" width="9.44140625" style="1" bestFit="1" customWidth="1"/>
    <col min="4" max="5" width="10.109375" style="1" bestFit="1" customWidth="1"/>
    <col min="6" max="6" width="10.44140625" style="1" bestFit="1" customWidth="1"/>
    <col min="7" max="7" width="11.109375" style="1" bestFit="1" customWidth="1"/>
    <col min="8" max="9" width="10.109375" style="1" bestFit="1" customWidth="1"/>
    <col min="10" max="12" width="10.44140625" style="1" bestFit="1" customWidth="1"/>
    <col min="13" max="13" width="9.44140625" style="1" bestFit="1" customWidth="1"/>
    <col min="14" max="14" width="4.44140625" style="1" bestFit="1" customWidth="1"/>
    <col min="15" max="15" width="10.44140625" style="1" bestFit="1" customWidth="1"/>
    <col min="16" max="26" width="9.44140625" style="1" bestFit="1" customWidth="1"/>
    <col min="27" max="27" width="11.44140625" style="1" bestFit="1" customWidth="1"/>
    <col min="28" max="16384" width="8.88671875" style="1"/>
  </cols>
  <sheetData>
    <row r="1" spans="1:28" x14ac:dyDescent="0.3">
      <c r="A1" s="3">
        <f>'Konstanta b'!A1</f>
        <v>0.1</v>
      </c>
      <c r="B1" s="3"/>
      <c r="C1" s="3" t="str">
        <f>'Konstanta b'!B1</f>
        <v>T1</v>
      </c>
      <c r="D1" s="3" t="str">
        <f>'Konstanta b'!C1</f>
        <v>T2</v>
      </c>
      <c r="E1" s="3" t="str">
        <f>'Konstanta b'!D1</f>
        <v>T3</v>
      </c>
      <c r="F1" s="3" t="str">
        <f>'Konstanta b'!E1</f>
        <v>T4</v>
      </c>
      <c r="G1" s="3" t="str">
        <f>'Konstanta b'!F1</f>
        <v>T5</v>
      </c>
      <c r="H1" s="3" t="str">
        <f>'Konstanta b'!G1</f>
        <v>T6</v>
      </c>
      <c r="I1" s="3" t="str">
        <f>'Konstanta b'!H1</f>
        <v>T7</v>
      </c>
      <c r="J1" s="3" t="str">
        <f>'Konstanta b'!I1</f>
        <v>T8</v>
      </c>
      <c r="K1" s="3" t="str">
        <f>'Konstanta b'!J1</f>
        <v>T9</v>
      </c>
      <c r="L1" s="3" t="str">
        <f>'Konstanta b'!K1</f>
        <v>T10</v>
      </c>
      <c r="M1" s="3" t="str">
        <f>'Konstanta b'!L1</f>
        <v>T11</v>
      </c>
      <c r="Q1" s="1">
        <v>1</v>
      </c>
      <c r="R1" s="1">
        <f>+Q1+1</f>
        <v>2</v>
      </c>
      <c r="S1" s="1">
        <f t="shared" ref="S1:AB1" si="0">+R1+1</f>
        <v>3</v>
      </c>
      <c r="T1" s="1">
        <f t="shared" si="0"/>
        <v>4</v>
      </c>
      <c r="U1" s="1">
        <f t="shared" si="0"/>
        <v>5</v>
      </c>
      <c r="V1" s="1">
        <f t="shared" si="0"/>
        <v>6</v>
      </c>
      <c r="W1" s="1">
        <f t="shared" si="0"/>
        <v>7</v>
      </c>
      <c r="X1" s="1">
        <f t="shared" si="0"/>
        <v>8</v>
      </c>
      <c r="Y1" s="1">
        <f t="shared" si="0"/>
        <v>9</v>
      </c>
      <c r="Z1" s="1">
        <f t="shared" si="0"/>
        <v>10</v>
      </c>
      <c r="AA1" s="1">
        <f t="shared" si="0"/>
        <v>11</v>
      </c>
      <c r="AB1" s="1">
        <f t="shared" si="0"/>
        <v>12</v>
      </c>
    </row>
    <row r="2" spans="1:28" x14ac:dyDescent="0.3">
      <c r="A2" s="3" t="str">
        <f>'Konstanta b'!A2</f>
        <v>Oil A 20 LT</v>
      </c>
      <c r="B2" s="7">
        <v>0</v>
      </c>
      <c r="C2" s="7">
        <f>'Konstanta a'!B2+('Konstanta b'!B2*Peramalan!$Q$1)</f>
        <v>12588.09</v>
      </c>
      <c r="D2" s="7">
        <f>'Konstanta a'!C2+('Konstanta b'!C2*Peramalan!$Q$1)</f>
        <v>11028.422000000002</v>
      </c>
      <c r="E2" s="7">
        <f>'Konstanta a'!D2+('Konstanta b'!D2*Peramalan!$Q$1)</f>
        <v>12949.922200000003</v>
      </c>
      <c r="F2" s="7">
        <f>'Konstanta a'!E2+('Konstanta b'!E2*Peramalan!$Q$1)</f>
        <v>12602.122540000002</v>
      </c>
      <c r="G2" s="7">
        <f>'Konstanta a'!F2+('Konstanta b'!F2*Peramalan!$Q$1)</f>
        <v>11904.331290000002</v>
      </c>
      <c r="H2" s="7">
        <f>'Konstanta a'!G2+('Konstanta b'!G2*Peramalan!$Q$1)</f>
        <v>11128.973664600002</v>
      </c>
      <c r="I2" s="7">
        <f>'Konstanta a'!H2+('Konstanta b'!H2*Peramalan!$Q$1)</f>
        <v>12487.505851380003</v>
      </c>
      <c r="J2" s="7">
        <f>'Konstanta a'!I2+('Konstanta b'!I2*Peramalan!$Q$1)</f>
        <v>12201.551864158006</v>
      </c>
      <c r="K2" s="7">
        <f>'Konstanta a'!J2+('Konstanta b'!J2*Peramalan!$Q$1)</f>
        <v>11927.334415866602</v>
      </c>
      <c r="L2" s="7">
        <f>'Konstanta a'!K2+('Konstanta b'!K2*Peramalan!$Q$1)</f>
        <v>11198.198438591904</v>
      </c>
      <c r="M2" s="7">
        <f>'Konstanta a'!L2+('Konstanta b'!L2*Peramalan!$Q$1)</f>
        <v>12528.40171261348</v>
      </c>
      <c r="O2" s="6">
        <f>'Konstanta a'!$M$2+('Konstanta b'!$M$2*Peramalan!Q1)</f>
        <v>12413.16984744482</v>
      </c>
      <c r="P2" s="6">
        <f>'Konstanta a'!$M$2+('Konstanta b'!$M$2*Peramalan!R1)</f>
        <v>12416.310207672721</v>
      </c>
      <c r="Q2" s="6">
        <f>'Konstanta a'!$M$2+('Konstanta b'!$M$2*Peramalan!S1)</f>
        <v>12419.45056790062</v>
      </c>
      <c r="R2" s="6">
        <f>'Konstanta a'!$M$2+('Konstanta b'!$M$2*Peramalan!T1)</f>
        <v>12422.59092812852</v>
      </c>
      <c r="S2" s="6">
        <f>'Konstanta a'!$M$2+('Konstanta b'!$M$2*Peramalan!U1)</f>
        <v>12425.731288356421</v>
      </c>
      <c r="T2" s="6">
        <f>'Konstanta a'!$M$2+('Konstanta b'!$M$2*Peramalan!V1)</f>
        <v>12428.871648584322</v>
      </c>
      <c r="U2" s="6">
        <f>'Konstanta a'!$M$2+('Konstanta b'!$M$2*Peramalan!W1)</f>
        <v>12432.01200881222</v>
      </c>
      <c r="V2" s="6">
        <f>'Konstanta a'!$M$2+('Konstanta b'!$M$2*Peramalan!X1)</f>
        <v>12435.152369040121</v>
      </c>
      <c r="W2" s="6">
        <f>'Konstanta a'!$M$2+('Konstanta b'!$M$2*Peramalan!Y1)</f>
        <v>12438.292729268022</v>
      </c>
      <c r="X2" s="6">
        <f>'Konstanta a'!$M$2+('Konstanta b'!$M$2*Peramalan!Z1)</f>
        <v>12441.433089495922</v>
      </c>
      <c r="Y2" s="6">
        <f>'Konstanta a'!$M$2+('Konstanta b'!$M$2*Peramalan!AA1)</f>
        <v>12444.573449723823</v>
      </c>
      <c r="Z2" s="6">
        <f>'Konstanta a'!$M$2+('Konstanta b'!$M$2*Peramalan!AB1)</f>
        <v>12447.713809951721</v>
      </c>
      <c r="AA2" s="6">
        <f t="shared" ref="AA2:AA6" si="1">SUM(O2:Z2)</f>
        <v>149165.30194437929</v>
      </c>
    </row>
    <row r="3" spans="1:28" x14ac:dyDescent="0.3">
      <c r="A3" s="3" t="str">
        <f>'Konstanta b'!A3</f>
        <v>Oil A 200 LT</v>
      </c>
      <c r="B3" s="7">
        <v>0</v>
      </c>
      <c r="C3" s="7">
        <f>'Konstanta a'!B3+('Konstanta b'!B3*Peramalan!$Q$1)</f>
        <v>459915.78</v>
      </c>
      <c r="D3" s="7">
        <f>'Konstanta a'!C3+('Konstanta b'!C3*Peramalan!$Q$1)</f>
        <v>447376.77600000001</v>
      </c>
      <c r="E3" s="7">
        <f>'Konstanta a'!D3+('Konstanta b'!D3*Peramalan!$Q$1)</f>
        <v>435122.26659999992</v>
      </c>
      <c r="F3" s="7">
        <f>'Konstanta a'!E3+('Konstanta b'!E3*Peramalan!$Q$1)</f>
        <v>448070.30511999998</v>
      </c>
      <c r="G3" s="7">
        <f>'Konstanta a'!F3+('Konstanta b'!F3*Peramalan!$Q$1)</f>
        <v>398171.65026999998</v>
      </c>
      <c r="H3" s="7">
        <f>'Konstanta a'!G3+('Konstanta b'!G3*Peramalan!$Q$1)</f>
        <v>391221.26313879999</v>
      </c>
      <c r="I3" s="7">
        <f>'Konstanta a'!H3+('Konstanta b'!H3*Peramalan!$Q$1)</f>
        <v>402503.33093113999</v>
      </c>
      <c r="J3" s="7">
        <f>'Konstanta a'!I3+('Konstanta b'!I3*Peramalan!$Q$1)</f>
        <v>421927.99533362407</v>
      </c>
      <c r="K3" s="7">
        <f>'Konstanta a'!J3+('Konstanta b'!J3*Peramalan!$Q$1)</f>
        <v>438823.17014629988</v>
      </c>
      <c r="L3" s="7">
        <f>'Konstanta a'!K3+('Konstanta b'!K3*Peramalan!$Q$1)</f>
        <v>455762.38404310436</v>
      </c>
      <c r="M3" s="7">
        <f>'Konstanta a'!L3+('Konstanta b'!L3*Peramalan!$Q$1)</f>
        <v>461180.45805908489</v>
      </c>
      <c r="O3" s="6">
        <f>'Konstanta a'!$M$3+('Konstanta b'!$M$3*Peramalan!Q1)</f>
        <v>455328.54903143825</v>
      </c>
      <c r="P3" s="6">
        <f>'Konstanta a'!$M$3+('Konstanta b'!$M$3*Peramalan!R1)</f>
        <v>455679.72543501772</v>
      </c>
      <c r="Q3" s="6">
        <f>'Konstanta a'!$M$3+('Konstanta b'!$M$3*Peramalan!S1)</f>
        <v>456030.9018385972</v>
      </c>
      <c r="R3" s="6">
        <f>'Konstanta a'!$M$3+('Konstanta b'!$M$3*Peramalan!T1)</f>
        <v>456382.07824217668</v>
      </c>
      <c r="S3" s="6">
        <f>'Konstanta a'!$M$3+('Konstanta b'!$M$3*Peramalan!U1)</f>
        <v>456733.2546457561</v>
      </c>
      <c r="T3" s="6">
        <f>'Konstanta a'!$M$3+('Konstanta b'!$M$3*Peramalan!V1)</f>
        <v>457084.43104933557</v>
      </c>
      <c r="U3" s="6">
        <f>'Konstanta a'!$M$3+('Konstanta b'!$M$3*Peramalan!W1)</f>
        <v>457435.60745291505</v>
      </c>
      <c r="V3" s="6">
        <f>'Konstanta a'!$M$3+('Konstanta b'!$M$3*Peramalan!X1)</f>
        <v>457786.78385649453</v>
      </c>
      <c r="W3" s="6">
        <f>'Konstanta a'!$M$3+('Konstanta b'!$M$3*Peramalan!Y1)</f>
        <v>458137.960260074</v>
      </c>
      <c r="X3" s="6">
        <f>'Konstanta a'!$M$3+('Konstanta b'!$M$3*Peramalan!Z1)</f>
        <v>458489.13666365348</v>
      </c>
      <c r="Y3" s="6">
        <f>'Konstanta a'!$M$3+('Konstanta b'!$M$3*Peramalan!AA1)</f>
        <v>458840.31306723296</v>
      </c>
      <c r="Z3" s="6">
        <f>'Konstanta a'!$M$3+('Konstanta b'!$M$3*Peramalan!AB1)</f>
        <v>459191.48947081243</v>
      </c>
      <c r="AA3" s="6">
        <f t="shared" si="1"/>
        <v>5487120.2310135048</v>
      </c>
    </row>
    <row r="4" spans="1:28" x14ac:dyDescent="0.3">
      <c r="A4" s="3" t="str">
        <f>'Konstanta b'!A4</f>
        <v>Oil A 1000 LT</v>
      </c>
      <c r="B4" s="7">
        <v>0</v>
      </c>
      <c r="C4" s="7">
        <f>'Konstanta a'!B4+('Konstanta b'!B4*Peramalan!$Q$1)</f>
        <v>23458.3</v>
      </c>
      <c r="D4" s="7">
        <f>'Konstanta a'!C4+('Konstanta b'!C4*Peramalan!$Q$1)</f>
        <v>27209.96</v>
      </c>
      <c r="E4" s="7">
        <f>'Konstanta a'!D4+('Konstanta b'!D4*Peramalan!$Q$1)</f>
        <v>27705.930999999997</v>
      </c>
      <c r="F4" s="7">
        <f>'Konstanta a'!E4+('Konstanta b'!E4*Peramalan!$Q$1)</f>
        <v>30243.127199999999</v>
      </c>
      <c r="G4" s="7">
        <f>'Konstanta a'!F4+('Konstanta b'!F4*Peramalan!$Q$1)</f>
        <v>29286.533849999996</v>
      </c>
      <c r="H4" s="7">
        <f>'Konstanta a'!G4+('Konstanta b'!G4*Peramalan!$Q$1)</f>
        <v>35128.503898000003</v>
      </c>
      <c r="I4" s="7">
        <f>'Konstanta a'!H4+('Konstanta b'!H4*Peramalan!$Q$1)</f>
        <v>45385.343597900006</v>
      </c>
      <c r="J4" s="7">
        <f>'Konstanta a'!I4+('Konstanta b'!I4*Peramalan!$Q$1)</f>
        <v>48140.197318840008</v>
      </c>
      <c r="K4" s="7">
        <f>'Konstanta a'!J4+('Konstanta b'!J4*Peramalan!$Q$1)</f>
        <v>41873.018859613003</v>
      </c>
      <c r="L4" s="7">
        <f>'Konstanta a'!K4+('Konstanta b'!K4*Peramalan!$Q$1)</f>
        <v>39080.619119043004</v>
      </c>
      <c r="M4" s="7">
        <f>'Konstanta a'!L4+('Konstanta b'!L4*Peramalan!$Q$1)</f>
        <v>37199.239137990873</v>
      </c>
      <c r="O4" s="6">
        <f>'Konstanta a'!$M$4+('Konstanta b'!$M$4*Peramalan!Q1)</f>
        <v>36970.354961958743</v>
      </c>
      <c r="P4" s="6">
        <f>'Konstanta a'!$M$4+('Konstanta b'!$M$4*Peramalan!R1)</f>
        <v>37377.313222144869</v>
      </c>
      <c r="Q4" s="6">
        <f>'Konstanta a'!$M$4+('Konstanta b'!$M$4*Peramalan!S1)</f>
        <v>37784.271482331002</v>
      </c>
      <c r="R4" s="6">
        <f>'Konstanta a'!$M$4+('Konstanta b'!$M$4*Peramalan!T1)</f>
        <v>38191.229742517135</v>
      </c>
      <c r="S4" s="6">
        <f>'Konstanta a'!$M$4+('Konstanta b'!$M$4*Peramalan!U1)</f>
        <v>38598.188002703268</v>
      </c>
      <c r="T4" s="6">
        <f>'Konstanta a'!$M$4+('Konstanta b'!$M$4*Peramalan!V1)</f>
        <v>39005.146262889393</v>
      </c>
      <c r="U4" s="6">
        <f>'Konstanta a'!$M$4+('Konstanta b'!$M$4*Peramalan!W1)</f>
        <v>39412.104523075526</v>
      </c>
      <c r="V4" s="6">
        <f>'Konstanta a'!$M$4+('Konstanta b'!$M$4*Peramalan!X1)</f>
        <v>39819.062783261659</v>
      </c>
      <c r="W4" s="6">
        <f>'Konstanta a'!$M$4+('Konstanta b'!$M$4*Peramalan!Y1)</f>
        <v>40226.021043447792</v>
      </c>
      <c r="X4" s="6">
        <f>'Konstanta a'!$M$4+('Konstanta b'!$M$4*Peramalan!Z1)</f>
        <v>40632.979303633918</v>
      </c>
      <c r="Y4" s="6">
        <f>'Konstanta a'!$M$4+('Konstanta b'!$M$4*Peramalan!AA1)</f>
        <v>41039.937563820051</v>
      </c>
      <c r="Z4" s="6">
        <f>'Konstanta a'!$M$4+('Konstanta b'!$M$4*Peramalan!AB1)</f>
        <v>41446.895824006184</v>
      </c>
      <c r="AA4" s="6">
        <f t="shared" si="1"/>
        <v>470503.50471578952</v>
      </c>
    </row>
    <row r="5" spans="1:28" x14ac:dyDescent="0.3">
      <c r="A5" s="3" t="str">
        <f>'Konstanta b'!A5</f>
        <v>Oil B 20 LT</v>
      </c>
      <c r="B5" s="7">
        <v>0</v>
      </c>
      <c r="C5" s="7">
        <f>'Konstanta a'!B5+('Konstanta b'!B5*Peramalan!$Q$1)</f>
        <v>4698.6499999999996</v>
      </c>
      <c r="D5" s="7">
        <f>'Konstanta a'!C5+('Konstanta b'!C5*Peramalan!$Q$1)</f>
        <v>5487.92</v>
      </c>
      <c r="E5" s="7">
        <f>'Konstanta a'!D5+('Konstanta b'!D5*Peramalan!$Q$1)</f>
        <v>6027.6895000000004</v>
      </c>
      <c r="F5" s="7">
        <f>'Konstanta a'!E5+('Konstanta b'!E5*Peramalan!$Q$1)</f>
        <v>6195.3423999999995</v>
      </c>
      <c r="G5" s="7">
        <f>'Konstanta a'!F5+('Konstanta b'!F5*Peramalan!$Q$1)</f>
        <v>14165.431424999997</v>
      </c>
      <c r="H5" s="7">
        <f>'Konstanta a'!G5+('Konstanta b'!G5*Peramalan!$Q$1)</f>
        <v>13185.609220999999</v>
      </c>
      <c r="I5" s="7">
        <f>'Konstanta a'!H5+('Konstanta b'!H5*Peramalan!$Q$1)</f>
        <v>12666.46534355</v>
      </c>
      <c r="J5" s="7">
        <f>'Konstanta a'!I5+('Konstanta b'!I5*Peramalan!$Q$1)</f>
        <v>13918.829249380002</v>
      </c>
      <c r="K5" s="7">
        <f>'Konstanta a'!J5+('Konstanta b'!J5*Peramalan!$Q$1)</f>
        <v>14975.595720608504</v>
      </c>
      <c r="L5" s="7">
        <f>'Konstanta a'!K5+('Konstanta b'!K5*Peramalan!$Q$1)</f>
        <v>19439.280605097498</v>
      </c>
      <c r="M5" s="7">
        <f>'Konstanta a'!L5+('Konstanta b'!L5*Peramalan!$Q$1)</f>
        <v>17487.384555482615</v>
      </c>
      <c r="O5" s="6">
        <f>'Konstanta a'!$M$5+('Konstanta b'!$M$5*Peramalan!Q1)</f>
        <v>16168.536909739732</v>
      </c>
      <c r="P5" s="6">
        <f>'Konstanta a'!$M$5+('Konstanta b'!$M$5*Peramalan!R1)</f>
        <v>16575.999729538547</v>
      </c>
      <c r="Q5" s="6">
        <f>'Konstanta a'!$M$5+('Konstanta b'!$M$5*Peramalan!S1)</f>
        <v>16983.462549337361</v>
      </c>
      <c r="R5" s="6">
        <f>'Konstanta a'!$M$5+('Konstanta b'!$M$5*Peramalan!T1)</f>
        <v>17390.925369136174</v>
      </c>
      <c r="S5" s="6">
        <f>'Konstanta a'!$M$5+('Konstanta b'!$M$5*Peramalan!U1)</f>
        <v>17798.388188934987</v>
      </c>
      <c r="T5" s="6">
        <f>'Konstanta a'!$M$5+('Konstanta b'!$M$5*Peramalan!V1)</f>
        <v>18205.8510087338</v>
      </c>
      <c r="U5" s="6">
        <f>'Konstanta a'!$M$5+('Konstanta b'!$M$5*Peramalan!W1)</f>
        <v>18613.313828532617</v>
      </c>
      <c r="V5" s="6">
        <f>'Konstanta a'!$M$5+('Konstanta b'!$M$5*Peramalan!X1)</f>
        <v>19020.77664833143</v>
      </c>
      <c r="W5" s="6">
        <f>'Konstanta a'!$M$5+('Konstanta b'!$M$5*Peramalan!Y1)</f>
        <v>19428.239468130243</v>
      </c>
      <c r="X5" s="6">
        <f>'Konstanta a'!$M$5+('Konstanta b'!$M$5*Peramalan!Z1)</f>
        <v>19835.702287929056</v>
      </c>
      <c r="Y5" s="6">
        <f>'Konstanta a'!$M$5+('Konstanta b'!$M$5*Peramalan!AA1)</f>
        <v>20243.165107727873</v>
      </c>
      <c r="Z5" s="6">
        <f>'Konstanta a'!$M$5+('Konstanta b'!$M$5*Peramalan!AB1)</f>
        <v>20650.627927526686</v>
      </c>
      <c r="AA5" s="6">
        <f t="shared" si="1"/>
        <v>220914.98902359849</v>
      </c>
    </row>
    <row r="6" spans="1:28" x14ac:dyDescent="0.3">
      <c r="A6" s="3" t="str">
        <f>'Konstanta b'!A6</f>
        <v>Oil B 200 LT</v>
      </c>
      <c r="B6" s="7">
        <v>0</v>
      </c>
      <c r="C6" s="7">
        <f>'Konstanta a'!B6+('Konstanta b'!B6*Peramalan!$Q$1)</f>
        <v>1033.08</v>
      </c>
      <c r="D6" s="7">
        <f>'Konstanta a'!C6+('Konstanta b'!C6*Peramalan!$Q$1)</f>
        <v>5922.0519999999997</v>
      </c>
      <c r="E6" s="7">
        <f>'Konstanta a'!D6+('Konstanta b'!D6*Peramalan!$Q$1)</f>
        <v>8881.494200000001</v>
      </c>
      <c r="F6" s="7">
        <f>'Konstanta a'!E6+('Konstanta b'!E6*Peramalan!$Q$1)</f>
        <v>11256.573640000002</v>
      </c>
      <c r="G6" s="7">
        <f>'Konstanta a'!F6+('Konstanta b'!F6*Peramalan!$Q$1)</f>
        <v>14855.521250000002</v>
      </c>
      <c r="H6" s="7">
        <f>'Konstanta a'!G6+('Konstanta b'!G6*Peramalan!$Q$1)</f>
        <v>16013.967601600001</v>
      </c>
      <c r="I6" s="7">
        <f>'Konstanta a'!H6+('Konstanta b'!H6*Peramalan!$Q$1)</f>
        <v>24144.842370380004</v>
      </c>
      <c r="J6" s="7">
        <f>'Konstanta a'!I6+('Konstanta b'!I6*Peramalan!$Q$1)</f>
        <v>26745.988909388005</v>
      </c>
      <c r="K6" s="7">
        <f>'Konstanta a'!J6+('Konstanta b'!J6*Peramalan!$Q$1)</f>
        <v>28215.098316890602</v>
      </c>
      <c r="L6" s="7">
        <f>'Konstanta a'!K6+('Konstanta b'!K6*Peramalan!$Q$1)</f>
        <v>33919.245953798811</v>
      </c>
      <c r="M6" s="7">
        <f>'Konstanta a'!L6+('Konstanta b'!L6*Peramalan!$Q$1)</f>
        <v>38525.519680156467</v>
      </c>
      <c r="O6" s="6">
        <f>'Konstanta a'!$M$6+('Konstanta b'!$M$6*Peramalan!Q1)</f>
        <v>40922.3530017046</v>
      </c>
      <c r="P6" s="6">
        <f>'Konstanta a'!$M$6+('Konstanta b'!$M$6*Peramalan!R1)</f>
        <v>42488.525262482457</v>
      </c>
      <c r="Q6" s="6">
        <f>'Konstanta a'!$M$6+('Konstanta b'!$M$6*Peramalan!S1)</f>
        <v>44054.697523260322</v>
      </c>
      <c r="R6" s="6">
        <f>'Konstanta a'!$M$6+('Konstanta b'!$M$6*Peramalan!T1)</f>
        <v>45620.869784038179</v>
      </c>
      <c r="S6" s="6">
        <f>'Konstanta a'!$M$6+('Konstanta b'!$M$6*Peramalan!U1)</f>
        <v>47187.042044816044</v>
      </c>
      <c r="T6" s="6">
        <f>'Konstanta a'!$M$6+('Konstanta b'!$M$6*Peramalan!V1)</f>
        <v>48753.214305593909</v>
      </c>
      <c r="U6" s="6">
        <f>'Konstanta a'!$M$6+('Konstanta b'!$M$6*Peramalan!W1)</f>
        <v>50319.386566371766</v>
      </c>
      <c r="V6" s="6">
        <f>'Konstanta a'!$M$6+('Konstanta b'!$M$6*Peramalan!X1)</f>
        <v>51885.558827149631</v>
      </c>
      <c r="W6" s="6">
        <f>'Konstanta a'!$M$6+('Konstanta b'!$M$6*Peramalan!Y1)</f>
        <v>53451.731087927488</v>
      </c>
      <c r="X6" s="6">
        <f>'Konstanta a'!$M$6+('Konstanta b'!$M$6*Peramalan!Z1)</f>
        <v>55017.903348705353</v>
      </c>
      <c r="Y6" s="6">
        <f>'Konstanta a'!$M$6+('Konstanta b'!$M$6*Peramalan!AA1)</f>
        <v>56584.075609483218</v>
      </c>
      <c r="Z6" s="6">
        <f>'Konstanta a'!$M$6+('Konstanta b'!$M$6*Peramalan!AB1)</f>
        <v>58150.247870261075</v>
      </c>
      <c r="AA6" s="6">
        <f t="shared" si="1"/>
        <v>594435.60523179395</v>
      </c>
    </row>
    <row r="7" spans="1:28" x14ac:dyDescent="0.3">
      <c r="A7" s="1">
        <f>'Konstanta b'!A7</f>
        <v>0.2</v>
      </c>
      <c r="B7" s="1" t="str">
        <f>'Konstanta b'!B7</f>
        <v>T1</v>
      </c>
      <c r="C7" s="1" t="str">
        <f>'Konstanta b'!C7</f>
        <v>T2</v>
      </c>
      <c r="D7" s="1" t="str">
        <f>'Konstanta b'!D7</f>
        <v>T3</v>
      </c>
      <c r="E7" s="1" t="str">
        <f>'Konstanta b'!E7</f>
        <v>T4</v>
      </c>
      <c r="F7" s="1" t="str">
        <f>'Konstanta b'!F7</f>
        <v>T5</v>
      </c>
      <c r="G7" s="1" t="str">
        <f>'Konstanta b'!G7</f>
        <v>T6</v>
      </c>
      <c r="H7" s="1" t="str">
        <f>'Konstanta b'!H7</f>
        <v>T7</v>
      </c>
      <c r="I7" s="1" t="str">
        <f>'Konstanta b'!I7</f>
        <v>T8</v>
      </c>
      <c r="J7" s="1" t="str">
        <f>'Konstanta b'!J7</f>
        <v>T9</v>
      </c>
      <c r="K7" s="1" t="str">
        <f>'Konstanta b'!K7</f>
        <v>T10</v>
      </c>
      <c r="L7" s="1" t="str">
        <f>'Konstanta b'!L7</f>
        <v>T11</v>
      </c>
      <c r="M7" s="1" t="str">
        <f>'Konstanta b'!M7</f>
        <v>T12</v>
      </c>
      <c r="O7" s="6">
        <f t="shared" ref="O7:Y7" si="2">SUM(C2:C6)</f>
        <v>501693.90000000008</v>
      </c>
      <c r="P7" s="6">
        <f t="shared" si="2"/>
        <v>497025.13000000006</v>
      </c>
      <c r="Q7" s="6">
        <f t="shared" si="2"/>
        <v>490687.30349999992</v>
      </c>
      <c r="R7" s="6">
        <f t="shared" si="2"/>
        <v>508367.47090000001</v>
      </c>
      <c r="S7" s="6">
        <f t="shared" si="2"/>
        <v>468383.468085</v>
      </c>
      <c r="T7" s="6">
        <f t="shared" si="2"/>
        <v>466678.31752399995</v>
      </c>
      <c r="U7" s="6">
        <f t="shared" si="2"/>
        <v>497187.48809435003</v>
      </c>
      <c r="V7" s="6">
        <f t="shared" si="2"/>
        <v>522934.5626753901</v>
      </c>
      <c r="W7" s="6">
        <f t="shared" si="2"/>
        <v>535814.21745927853</v>
      </c>
      <c r="X7" s="6">
        <f t="shared" si="2"/>
        <v>559399.72815963556</v>
      </c>
      <c r="Y7" s="6">
        <f t="shared" si="2"/>
        <v>566921.00314532837</v>
      </c>
      <c r="AA7" s="6">
        <f>SUM(AA2:AA6)</f>
        <v>6922139.631929066</v>
      </c>
    </row>
    <row r="8" spans="1:28" x14ac:dyDescent="0.3">
      <c r="A8" s="1" t="str">
        <f>'Konstanta b'!A8</f>
        <v>Oil A 20 LT</v>
      </c>
      <c r="B8" s="6">
        <f>B2</f>
        <v>0</v>
      </c>
      <c r="C8" s="6">
        <f>'Konstanta a'!B8+('Konstanta b'!B8*Peramalan!$Q$1)</f>
        <v>12588.09</v>
      </c>
      <c r="D8" s="6">
        <f>'Konstanta a'!C8+('Konstanta b'!C8*Peramalan!$Q$1)</f>
        <v>9468.7540000000026</v>
      </c>
      <c r="E8" s="6">
        <f>'Konstanta a'!D8+('Konstanta b'!D8*Peramalan!$Q$1)</f>
        <v>13779.6548</v>
      </c>
      <c r="F8" s="6">
        <f>'Konstanta a'!E8+('Konstanta b'!E8*Peramalan!$Q$1)</f>
        <v>12858.530720000002</v>
      </c>
      <c r="G8" s="6">
        <f>'Konstanta a'!F8+('Konstanta b'!F8*Peramalan!$Q$1)</f>
        <v>11396.584880000002</v>
      </c>
      <c r="H8" s="6">
        <f>'Konstanta a'!G8+('Konstanta b'!G8*Peramalan!$Q$1)</f>
        <v>10004.7825472</v>
      </c>
      <c r="I8" s="6">
        <f>'Konstanta a'!H8+('Konstanta b'!H8*Peramalan!$Q$1)</f>
        <v>13073.268152319999</v>
      </c>
      <c r="J8" s="6">
        <f>'Konstanta a'!I8+('Konstanta b'!I8*Peramalan!$Q$1)</f>
        <v>12356.496213503999</v>
      </c>
      <c r="K8" s="6">
        <f>'Konstanta a'!J8+('Konstanta b'!J8*Peramalan!$Q$1)</f>
        <v>11783.237524121598</v>
      </c>
      <c r="L8" s="6">
        <f>'Konstanta a'!K8+('Konstanta b'!K8*Peramalan!$Q$1)</f>
        <v>10387.320461951997</v>
      </c>
      <c r="M8" s="6">
        <f>'Konstanta a'!L8+('Konstanta b'!L8*Peramalan!$Q$1)</f>
        <v>13312.138323685373</v>
      </c>
    </row>
    <row r="9" spans="1:28" x14ac:dyDescent="0.3">
      <c r="A9" s="1" t="str">
        <f>'Konstanta b'!A9</f>
        <v>Oil A 200 LT</v>
      </c>
      <c r="B9" s="6">
        <f>B3</f>
        <v>0</v>
      </c>
      <c r="C9" s="6">
        <f>'Konstanta a'!B9+('Konstanta b'!B9*Peramalan!$Q$1)</f>
        <v>459915.78</v>
      </c>
      <c r="D9" s="6">
        <f>'Konstanta a'!C9+('Konstanta b'!C9*Peramalan!$Q$1)</f>
        <v>434837.77200000011</v>
      </c>
      <c r="E9" s="6">
        <f>'Konstanta a'!D9+('Konstanta b'!D9*Peramalan!$Q$1)</f>
        <v>414090.45439999999</v>
      </c>
      <c r="F9" s="6">
        <f>'Konstanta a'!E9+('Konstanta b'!E9*Peramalan!$Q$1)</f>
        <v>446484.16016000003</v>
      </c>
      <c r="G9" s="6">
        <f>'Konstanta a'!F9+('Konstanta b'!F9*Peramalan!$Q$1)</f>
        <v>347663.12144000008</v>
      </c>
      <c r="H9" s="6">
        <f>'Konstanta a'!G9+('Konstanta b'!G9*Peramalan!$Q$1)</f>
        <v>349431.20300159999</v>
      </c>
      <c r="I9" s="6">
        <f>'Konstanta a'!H9+('Konstanta b'!H9*Peramalan!$Q$1)</f>
        <v>385799.15108095994</v>
      </c>
      <c r="J9" s="6">
        <f>'Konstanta a'!I9+('Konstanta b'!I9*Peramalan!$Q$1)</f>
        <v>431534.69100851199</v>
      </c>
      <c r="K9" s="6">
        <f>'Konstanta a'!J9+('Konstanta b'!J9*Peramalan!$Q$1)</f>
        <v>464542.2193218047</v>
      </c>
      <c r="L9" s="6">
        <f>'Konstanta a'!K9+('Konstanta b'!K9*Peramalan!$Q$1)</f>
        <v>492633.46066943987</v>
      </c>
      <c r="M9" s="6">
        <f>'Konstanta a'!L9+('Konstanta b'!L9*Peramalan!$Q$1)</f>
        <v>493930.85510514874</v>
      </c>
    </row>
    <row r="10" spans="1:28" x14ac:dyDescent="0.3">
      <c r="A10" s="1" t="str">
        <f>'Konstanta b'!A10</f>
        <v>Oil A 1000 LT</v>
      </c>
      <c r="B10" s="6">
        <f>B4</f>
        <v>0</v>
      </c>
      <c r="C10" s="6">
        <f>'Konstanta a'!B10+('Konstanta b'!B10*Peramalan!$Q$1)</f>
        <v>23458.3</v>
      </c>
      <c r="D10" s="6">
        <f>'Konstanta a'!C10+('Konstanta b'!C10*Peramalan!$Q$1)</f>
        <v>30961.620000000003</v>
      </c>
      <c r="E10" s="6">
        <f>'Konstanta a'!D10+('Konstanta b'!D10*Peramalan!$Q$1)</f>
        <v>30828.064000000006</v>
      </c>
      <c r="F10" s="6">
        <f>'Konstanta a'!E10+('Konstanta b'!E10*Peramalan!$Q$1)</f>
        <v>34909.541600000004</v>
      </c>
      <c r="G10" s="6">
        <f>'Konstanta a'!F10+('Konstanta b'!F10*Peramalan!$Q$1)</f>
        <v>31494.261600000005</v>
      </c>
      <c r="H10" s="6">
        <f>'Konstanta a'!G10+('Konstanta b'!G10*Peramalan!$Q$1)</f>
        <v>42345.295936000002</v>
      </c>
      <c r="I10" s="6">
        <f>'Konstanta a'!H10+('Konstanta b'!H10*Peramalan!$Q$1)</f>
        <v>60492.742073599999</v>
      </c>
      <c r="J10" s="6">
        <f>'Konstanta a'!I10+('Konstanta b'!I10*Peramalan!$Q$1)</f>
        <v>61163.465918719994</v>
      </c>
      <c r="K10" s="6">
        <f>'Konstanta a'!J10+('Konstanta b'!J10*Peramalan!$Q$1)</f>
        <v>44192.838542847996</v>
      </c>
      <c r="L10" s="6">
        <f>'Konstanta a'!K10+('Konstanta b'!K10*Peramalan!$Q$1)</f>
        <v>37194.703480576005</v>
      </c>
      <c r="M10" s="6">
        <f>'Konstanta a'!L10+('Konstanta b'!L10*Peramalan!$Q$1)</f>
        <v>33254.948901498887</v>
      </c>
    </row>
    <row r="11" spans="1:28" x14ac:dyDescent="0.3">
      <c r="A11" s="1" t="str">
        <f>'Konstanta b'!A11</f>
        <v>Oil B 20 LT</v>
      </c>
      <c r="B11" s="6">
        <f>B5</f>
        <v>0</v>
      </c>
      <c r="C11" s="6">
        <f>'Konstanta a'!B11+('Konstanta b'!B11*Peramalan!$Q$1)</f>
        <v>4698.6499999999996</v>
      </c>
      <c r="D11" s="6">
        <f>'Konstanta a'!C11+('Konstanta b'!C11*Peramalan!$Q$1)</f>
        <v>6277.1900000000005</v>
      </c>
      <c r="E11" s="6">
        <f>'Konstanta a'!D11+('Konstanta b'!D11*Peramalan!$Q$1)</f>
        <v>7119.9480000000012</v>
      </c>
      <c r="F11" s="6">
        <f>'Konstanta a'!E11+('Konstanta b'!E11*Peramalan!$Q$1)</f>
        <v>7115.7372000000014</v>
      </c>
      <c r="G11" s="6">
        <f>'Konstanta a'!F11+('Konstanta b'!F11*Peramalan!$Q$1)</f>
        <v>22751.771200000003</v>
      </c>
      <c r="H11" s="6">
        <f>'Konstanta a'!G11+('Konstanta b'!G11*Peramalan!$Q$1)</f>
        <v>18174.834112</v>
      </c>
      <c r="I11" s="6">
        <f>'Konstanta a'!H11+('Konstanta b'!H11*Peramalan!$Q$1)</f>
        <v>15470.1978112</v>
      </c>
      <c r="J11" s="6">
        <f>'Konstanta a'!I11+('Konstanta b'!I11*Peramalan!$Q$1)</f>
        <v>16892.04706624</v>
      </c>
      <c r="K11" s="6">
        <f>'Konstanta a'!J11+('Konstanta b'!J11*Peramalan!$Q$1)</f>
        <v>17833.308706816002</v>
      </c>
      <c r="L11" s="6">
        <f>'Konstanta a'!K11+('Konstanta b'!K11*Peramalan!$Q$1)</f>
        <v>25582.143808512003</v>
      </c>
      <c r="M11" s="6">
        <f>'Konstanta a'!L11+('Konstanta b'!L11*Peramalan!$Q$1)</f>
        <v>19475.280521256966</v>
      </c>
    </row>
    <row r="12" spans="1:28" x14ac:dyDescent="0.3">
      <c r="A12" s="1" t="str">
        <f>'Konstanta b'!A12</f>
        <v>Oil B 200 LT</v>
      </c>
      <c r="B12" s="6">
        <f>B6</f>
        <v>0</v>
      </c>
      <c r="C12" s="6">
        <f>'Konstanta a'!B12+('Konstanta b'!B12*Peramalan!$Q$1)</f>
        <v>1033.08</v>
      </c>
      <c r="D12" s="6">
        <f>'Konstanta a'!C12+('Konstanta b'!C12*Peramalan!$Q$1)</f>
        <v>10811.023999999999</v>
      </c>
      <c r="E12" s="6">
        <f>'Konstanta a'!D12+('Konstanta b'!D12*Peramalan!$Q$1)</f>
        <v>15263.216800000002</v>
      </c>
      <c r="F12" s="6">
        <f>'Konstanta a'!E12+('Konstanta b'!E12*Peramalan!$Q$1)</f>
        <v>18025.524320000004</v>
      </c>
      <c r="G12" s="6">
        <f>'Konstanta a'!F12+('Konstanta b'!F12*Peramalan!$Q$1)</f>
        <v>23024.89616</v>
      </c>
      <c r="H12" s="6">
        <f>'Konstanta a'!G12+('Konstanta b'!G12*Peramalan!$Q$1)</f>
        <v>22624.238291199996</v>
      </c>
      <c r="I12" s="6">
        <f>'Konstanta a'!H12+('Konstanta b'!H12*Peramalan!$Q$1)</f>
        <v>36517.559323520007</v>
      </c>
      <c r="J12" s="6">
        <f>'Konstanta a'!I12+('Konstanta b'!I12*Peramalan!$Q$1)</f>
        <v>37528.92001126401</v>
      </c>
      <c r="K12" s="6">
        <f>'Konstanta a'!J12+('Konstanta b'!J12*Peramalan!$Q$1)</f>
        <v>36573.780450969614</v>
      </c>
      <c r="L12" s="6">
        <f>'Konstanta a'!K12+('Konstanta b'!K12*Peramalan!$Q$1)</f>
        <v>44662.635914342412</v>
      </c>
      <c r="M12" s="6">
        <f>'Konstanta a'!L12+('Konstanta b'!L12*Peramalan!$Q$1)</f>
        <v>49724.77637432731</v>
      </c>
    </row>
    <row r="13" spans="1:28" x14ac:dyDescent="0.3">
      <c r="A13" s="1">
        <f>'Konstanta b'!A13</f>
        <v>0.3</v>
      </c>
      <c r="B13" s="1" t="str">
        <f>'Konstanta b'!B13</f>
        <v>T1</v>
      </c>
      <c r="C13" s="1" t="str">
        <f>'Konstanta b'!C13</f>
        <v>T2</v>
      </c>
      <c r="D13" s="1" t="str">
        <f>'Konstanta b'!D13</f>
        <v>T3</v>
      </c>
      <c r="E13" s="1" t="str">
        <f>'Konstanta b'!E13</f>
        <v>T4</v>
      </c>
      <c r="F13" s="1" t="str">
        <f>'Konstanta b'!F13</f>
        <v>T5</v>
      </c>
      <c r="G13" s="1" t="str">
        <f>'Konstanta b'!G13</f>
        <v>T6</v>
      </c>
      <c r="H13" s="1" t="str">
        <f>'Konstanta b'!H13</f>
        <v>T7</v>
      </c>
      <c r="I13" s="1" t="str">
        <f>'Konstanta b'!I13</f>
        <v>T8</v>
      </c>
      <c r="J13" s="1" t="str">
        <f>'Konstanta b'!J13</f>
        <v>T9</v>
      </c>
      <c r="K13" s="1" t="str">
        <f>'Konstanta b'!K13</f>
        <v>T10</v>
      </c>
      <c r="L13" s="1" t="str">
        <f>'Konstanta b'!L13</f>
        <v>T11</v>
      </c>
      <c r="M13" s="1" t="str">
        <f>'Konstanta b'!M13</f>
        <v>T12</v>
      </c>
    </row>
    <row r="14" spans="1:28" x14ac:dyDescent="0.3">
      <c r="A14" s="1" t="str">
        <f>'Konstanta b'!A14</f>
        <v>Oil A 20 LT</v>
      </c>
      <c r="B14" s="6">
        <f>B8</f>
        <v>0</v>
      </c>
      <c r="C14" s="6">
        <f>'Konstanta a'!B14+('Konstanta b'!B14*Peramalan!$Q$1)</f>
        <v>12588.09</v>
      </c>
      <c r="D14" s="6">
        <f>'Konstanta a'!C14+('Konstanta b'!C14*Peramalan!$Q$1)</f>
        <v>7909.0860000000011</v>
      </c>
      <c r="E14" s="6">
        <f>'Konstanta a'!D14+('Konstanta b'!D14*Peramalan!$Q$1)</f>
        <v>15077.287800000002</v>
      </c>
      <c r="F14" s="6">
        <f>'Konstanta a'!E14+('Konstanta b'!E14*Peramalan!$Q$1)</f>
        <v>13170.154380000002</v>
      </c>
      <c r="G14" s="6">
        <f>'Konstanta a'!F14+('Konstanta b'!F14*Peramalan!$Q$1)</f>
        <v>10846.246410000002</v>
      </c>
      <c r="H14" s="6">
        <f>'Konstanta a'!G14+('Konstanta b'!G14*Peramalan!$Q$1)</f>
        <v>9003.7987278000019</v>
      </c>
      <c r="I14" s="6">
        <f>'Konstanta a'!H14+('Konstanta b'!H14*Peramalan!$Q$1)</f>
        <v>14075.363878020004</v>
      </c>
      <c r="J14" s="6">
        <f>'Konstanta a'!I14+('Konstanta b'!I14*Peramalan!$Q$1)</f>
        <v>12605.102052606002</v>
      </c>
      <c r="K14" s="6">
        <f>'Konstanta a'!J14+('Konstanta b'!J14*Peramalan!$Q$1)</f>
        <v>11651.157773418601</v>
      </c>
      <c r="L14" s="6">
        <f>'Konstanta a'!K14+('Konstanta b'!K14*Peramalan!$Q$1)</f>
        <v>9625.2543770090997</v>
      </c>
      <c r="M14" s="6">
        <f>'Konstanta a'!L14+('Konstanta b'!L14*Peramalan!$Q$1)</f>
        <v>14369.025418837626</v>
      </c>
    </row>
    <row r="15" spans="1:28" x14ac:dyDescent="0.3">
      <c r="A15" s="1" t="str">
        <f>'Konstanta b'!A15</f>
        <v>Oil A 200 LT</v>
      </c>
      <c r="B15" s="6">
        <f>B9</f>
        <v>0</v>
      </c>
      <c r="C15" s="6">
        <f>'Konstanta a'!B15+('Konstanta b'!B15*Peramalan!$Q$1)</f>
        <v>459915.78</v>
      </c>
      <c r="D15" s="6">
        <f>'Konstanta a'!C15+('Konstanta b'!C15*Peramalan!$Q$1)</f>
        <v>422298.76799999998</v>
      </c>
      <c r="E15" s="6">
        <f>'Konstanta a'!D15+('Konstanta b'!D15*Peramalan!$Q$1)</f>
        <v>396820.34340000001</v>
      </c>
      <c r="F15" s="6">
        <f>'Konstanta a'!E15+('Konstanta b'!E15*Peramalan!$Q$1)</f>
        <v>453652.66464000009</v>
      </c>
      <c r="G15" s="6">
        <f>'Konstanta a'!F15+('Konstanta b'!F15*Peramalan!$Q$1)</f>
        <v>303308.41923</v>
      </c>
      <c r="H15" s="6">
        <f>'Konstanta a'!G15+('Konstanta b'!G15*Peramalan!$Q$1)</f>
        <v>326754.47544840002</v>
      </c>
      <c r="I15" s="6">
        <f>'Konstanta a'!H15+('Konstanta b'!H15*Peramalan!$Q$1)</f>
        <v>394003.73020506016</v>
      </c>
      <c r="J15" s="6">
        <f>'Konstanta a'!I15+('Konstanta b'!I15*Peramalan!$Q$1)</f>
        <v>462237.91851736826</v>
      </c>
      <c r="K15" s="6">
        <f>'Konstanta a'!J15+('Konstanta b'!J15*Peramalan!$Q$1)</f>
        <v>500924.3395238361</v>
      </c>
      <c r="L15" s="6">
        <f>'Konstanta a'!K15+('Konstanta b'!K15*Peramalan!$Q$1)</f>
        <v>528514.76925986004</v>
      </c>
      <c r="M15" s="6">
        <f>'Konstanta a'!L15+('Konstanta b'!L15*Peramalan!$Q$1)</f>
        <v>514775.96199712442</v>
      </c>
    </row>
    <row r="16" spans="1:28" x14ac:dyDescent="0.3">
      <c r="A16" s="1" t="str">
        <f>'Konstanta b'!A16</f>
        <v>Oil A 1000 LT</v>
      </c>
      <c r="B16" s="6">
        <f>B10</f>
        <v>0</v>
      </c>
      <c r="C16" s="6">
        <f>'Konstanta a'!B16+('Konstanta b'!B16*Peramalan!$Q$1)</f>
        <v>23458.3</v>
      </c>
      <c r="D16" s="6">
        <f>'Konstanta a'!C16+('Konstanta b'!C16*Peramalan!$Q$1)</f>
        <v>34713.280000000006</v>
      </c>
      <c r="E16" s="6">
        <f>'Konstanta a'!D16+('Konstanta b'!D16*Peramalan!$Q$1)</f>
        <v>32824.699000000008</v>
      </c>
      <c r="F16" s="6">
        <f>'Konstanta a'!E16+('Konstanta b'!E16*Peramalan!$Q$1)</f>
        <v>37907.74240000001</v>
      </c>
      <c r="G16" s="6">
        <f>'Konstanta a'!F16+('Konstanta b'!F16*Peramalan!$Q$1)</f>
        <v>31221.477850000007</v>
      </c>
      <c r="H16" s="6">
        <f>'Konstanta a'!G16+('Konstanta b'!G16*Peramalan!$Q$1)</f>
        <v>47295.99921400001</v>
      </c>
      <c r="I16" s="6">
        <f>'Konstanta a'!H16+('Konstanta b'!H16*Peramalan!$Q$1)</f>
        <v>71977.27575310001</v>
      </c>
      <c r="J16" s="6">
        <f>'Konstanta a'!I16+('Konstanta b'!I16*Peramalan!$Q$1)</f>
        <v>67319.349439479993</v>
      </c>
      <c r="K16" s="6">
        <f>'Konstanta a'!J16+('Konstanta b'!J16*Peramalan!$Q$1)</f>
        <v>38169.792096252997</v>
      </c>
      <c r="L16" s="6">
        <f>'Konstanta a'!K16+('Konstanta b'!K16*Peramalan!$Q$1)</f>
        <v>29235.332709409002</v>
      </c>
      <c r="M16" s="6">
        <f>'Konstanta a'!L16+('Konstanta b'!L16*Peramalan!$Q$1)</f>
        <v>25992.977666008632</v>
      </c>
    </row>
    <row r="17" spans="1:14" x14ac:dyDescent="0.3">
      <c r="A17" s="1" t="str">
        <f>'Konstanta b'!A17</f>
        <v>Oil B 20 LT</v>
      </c>
      <c r="B17" s="6">
        <f>B11</f>
        <v>0</v>
      </c>
      <c r="C17" s="6">
        <f>'Konstanta a'!B17+('Konstanta b'!B17*Peramalan!$Q$1)</f>
        <v>4698.6499999999996</v>
      </c>
      <c r="D17" s="6">
        <f>'Konstanta a'!C17+('Konstanta b'!C17*Peramalan!$Q$1)</f>
        <v>7066.4600000000019</v>
      </c>
      <c r="E17" s="6">
        <f>'Konstanta a'!D17+('Konstanta b'!D17*Peramalan!$Q$1)</f>
        <v>7975.4255000000003</v>
      </c>
      <c r="F17" s="6">
        <f>'Konstanta a'!E17+('Konstanta b'!E17*Peramalan!$Q$1)</f>
        <v>7554.546800000001</v>
      </c>
      <c r="G17" s="6">
        <f>'Konstanta a'!F17+('Konstanta b'!F17*Peramalan!$Q$1)</f>
        <v>30749.751425000009</v>
      </c>
      <c r="H17" s="6">
        <f>'Konstanta a'!G17+('Konstanta b'!G17*Peramalan!$Q$1)</f>
        <v>20207.960063000006</v>
      </c>
      <c r="I17" s="6">
        <f>'Konstanta a'!H17+('Konstanta b'!H17*Peramalan!$Q$1)</f>
        <v>14859.451689950001</v>
      </c>
      <c r="J17" s="6">
        <f>'Konstanta a'!I17+('Konstanta b'!I17*Peramalan!$Q$1)</f>
        <v>16817.599835060002</v>
      </c>
      <c r="K17" s="6">
        <f>'Konstanta a'!J17+('Konstanta b'!J17*Peramalan!$Q$1)</f>
        <v>17839.768441008498</v>
      </c>
      <c r="L17" s="6">
        <f>'Konstanta a'!K17+('Konstanta b'!K17*Peramalan!$Q$1)</f>
        <v>29041.951898232506</v>
      </c>
      <c r="M17" s="6">
        <f>'Konstanta a'!L17+('Konstanta b'!L17*Peramalan!$Q$1)</f>
        <v>17908.014121431337</v>
      </c>
    </row>
    <row r="18" spans="1:14" x14ac:dyDescent="0.3">
      <c r="A18" s="1" t="str">
        <f>'Konstanta b'!A18</f>
        <v>Oil B 200 LT</v>
      </c>
      <c r="B18" s="6">
        <f>B12</f>
        <v>0</v>
      </c>
      <c r="C18" s="6">
        <f>'Konstanta a'!B18+('Konstanta b'!B18*Peramalan!$Q$1)</f>
        <v>1033.08</v>
      </c>
      <c r="D18" s="6">
        <f>'Konstanta a'!C18+('Konstanta b'!C18*Peramalan!$Q$1)</f>
        <v>15699.996000000003</v>
      </c>
      <c r="E18" s="6">
        <f>'Konstanta a'!D18+('Konstanta b'!D18*Peramalan!$Q$1)</f>
        <v>20178.247800000001</v>
      </c>
      <c r="F18" s="6">
        <f>'Konstanta a'!E18+('Konstanta b'!E18*Peramalan!$Q$1)</f>
        <v>21926.608680000005</v>
      </c>
      <c r="G18" s="6">
        <f>'Konstanta a'!F18+('Konstanta b'!F18*Peramalan!$Q$1)</f>
        <v>27304.361730000004</v>
      </c>
      <c r="H18" s="6">
        <f>'Konstanta a'!G18+('Konstanta b'!G18*Peramalan!$Q$1)</f>
        <v>24268.726168800007</v>
      </c>
      <c r="I18" s="6">
        <f>'Konstanta a'!H18+('Konstanta b'!H18*Peramalan!$Q$1)</f>
        <v>43703.195488620011</v>
      </c>
      <c r="J18" s="6">
        <f>'Konstanta a'!I18+('Konstanta b'!I18*Peramalan!$Q$1)</f>
        <v>41264.051461356008</v>
      </c>
      <c r="K18" s="6">
        <f>'Konstanta a'!J18+('Konstanta b'!J18*Peramalan!$Q$1)</f>
        <v>37162.423656474602</v>
      </c>
      <c r="L18" s="6">
        <f>'Konstanta a'!K18+('Konstanta b'!K18*Peramalan!$Q$1)</f>
        <v>47908.335903000007</v>
      </c>
      <c r="M18" s="6">
        <f>'Konstanta a'!L18+('Konstanta b'!L18*Peramalan!$Q$1)</f>
        <v>52902.098072527464</v>
      </c>
    </row>
    <row r="19" spans="1:14" x14ac:dyDescent="0.3">
      <c r="A19" s="1">
        <f>'Konstanta b'!A19</f>
        <v>0.4</v>
      </c>
      <c r="B19" s="1" t="str">
        <f>'Konstanta b'!B19</f>
        <v>T1</v>
      </c>
      <c r="C19" s="1" t="str">
        <f>'Konstanta b'!C19</f>
        <v>T2</v>
      </c>
      <c r="D19" s="1" t="str">
        <f>'Konstanta b'!D19</f>
        <v>T3</v>
      </c>
      <c r="E19" s="1" t="str">
        <f>'Konstanta b'!E19</f>
        <v>T4</v>
      </c>
      <c r="F19" s="1" t="str">
        <f>'Konstanta b'!F19</f>
        <v>T5</v>
      </c>
      <c r="G19" s="1" t="str">
        <f>'Konstanta b'!G19</f>
        <v>T6</v>
      </c>
      <c r="H19" s="1" t="str">
        <f>'Konstanta b'!H19</f>
        <v>T7</v>
      </c>
      <c r="I19" s="1" t="str">
        <f>'Konstanta b'!I19</f>
        <v>T8</v>
      </c>
      <c r="J19" s="1" t="str">
        <f>'Konstanta b'!J19</f>
        <v>T9</v>
      </c>
      <c r="K19" s="1" t="str">
        <f>'Konstanta b'!K19</f>
        <v>T10</v>
      </c>
      <c r="L19" s="1" t="str">
        <f>'Konstanta b'!L19</f>
        <v>T11</v>
      </c>
      <c r="M19" s="1" t="str">
        <f>'Konstanta b'!M19</f>
        <v>T12</v>
      </c>
    </row>
    <row r="20" spans="1:14" x14ac:dyDescent="0.3">
      <c r="A20" s="1" t="str">
        <f>'Konstanta b'!A20</f>
        <v>Oil A 20 LT</v>
      </c>
      <c r="B20" s="6">
        <f>B14</f>
        <v>0</v>
      </c>
      <c r="C20" s="6">
        <f>'Konstanta a'!B20+('Konstanta b'!B20*Peramalan!$Q$1)</f>
        <v>12588.09</v>
      </c>
      <c r="D20" s="6">
        <f>'Konstanta a'!C20+('Konstanta b'!C20*Peramalan!$Q$1)</f>
        <v>6349.4179999999988</v>
      </c>
      <c r="E20" s="6">
        <f>'Konstanta a'!D20+('Konstanta b'!D20*Peramalan!$Q$1)</f>
        <v>16842.821200000006</v>
      </c>
      <c r="F20" s="6">
        <f>'Konstanta a'!E20+('Konstanta b'!E20*Peramalan!$Q$1)</f>
        <v>13349.833360000002</v>
      </c>
      <c r="G20" s="6">
        <f>'Konstanta a'!F20+('Konstanta b'!F20*Peramalan!$Q$1)</f>
        <v>10128.2916</v>
      </c>
      <c r="H20" s="6">
        <f>'Konstanta a'!G20+('Konstanta b'!G20*Peramalan!$Q$1)</f>
        <v>8075.0755104000009</v>
      </c>
      <c r="I20" s="6">
        <f>'Konstanta a'!H20+('Konstanta b'!H20*Peramalan!$Q$1)</f>
        <v>15417.595236480001</v>
      </c>
      <c r="J20" s="6">
        <f>'Konstanta a'!I20+('Konstanta b'!I20*Peramalan!$Q$1)</f>
        <v>12739.975100031997</v>
      </c>
      <c r="K20" s="6">
        <f>'Konstanta a'!J20+('Konstanta b'!J20*Peramalan!$Q$1)</f>
        <v>11380.680634905597</v>
      </c>
      <c r="L20" s="6">
        <f>'Konstanta a'!K20+('Konstanta b'!K20*Peramalan!$Q$1)</f>
        <v>8826.1857258752007</v>
      </c>
      <c r="M20" s="6">
        <f>'Konstanta a'!L20+('Konstanta b'!L20*Peramalan!$Q$1)</f>
        <v>15634.280242484227</v>
      </c>
    </row>
    <row r="21" spans="1:14" x14ac:dyDescent="0.3">
      <c r="A21" s="1" t="str">
        <f>'Konstanta b'!A21</f>
        <v>Oil A 200 LT</v>
      </c>
      <c r="B21" s="6">
        <f>B15</f>
        <v>0</v>
      </c>
      <c r="C21" s="6">
        <f>'Konstanta a'!B21+('Konstanta b'!B21*Peramalan!$Q$1)</f>
        <v>459915.78</v>
      </c>
      <c r="D21" s="6">
        <f>'Konstanta a'!C21+('Konstanta b'!C21*Peramalan!$Q$1)</f>
        <v>409759.76399999991</v>
      </c>
      <c r="E21" s="6">
        <f>'Konstanta a'!D21+('Konstanta b'!D21*Peramalan!$Q$1)</f>
        <v>383311.93360000005</v>
      </c>
      <c r="F21" s="6">
        <f>'Konstanta a'!E21+('Konstanta b'!E21*Peramalan!$Q$1)</f>
        <v>468071.13807999995</v>
      </c>
      <c r="G21" s="6">
        <f>'Konstanta a'!F21+('Konstanta b'!F21*Peramalan!$Q$1)</f>
        <v>260778.10959999997</v>
      </c>
      <c r="H21" s="6">
        <f>'Konstanta a'!G21+('Konstanta b'!G21*Peramalan!$Q$1)</f>
        <v>318354.63061119994</v>
      </c>
      <c r="I21" s="6">
        <f>'Konstanta a'!H21+('Konstanta b'!H21*Peramalan!$Q$1)</f>
        <v>416834.42927744007</v>
      </c>
      <c r="J21" s="6">
        <f>'Konstanta a'!I21+('Konstanta b'!I21*Peramalan!$Q$1)</f>
        <v>498455.98091289605</v>
      </c>
      <c r="K21" s="6">
        <f>'Konstanta a'!J21+('Konstanta b'!J21*Peramalan!$Q$1)</f>
        <v>531031.99215559696</v>
      </c>
      <c r="L21" s="6">
        <f>'Konstanta a'!K21+('Konstanta b'!K21*Peramalan!$Q$1)</f>
        <v>549944.07745807362</v>
      </c>
      <c r="M21" s="6">
        <f>'Konstanta a'!L21+('Konstanta b'!L21*Peramalan!$Q$1)</f>
        <v>516867.92937367345</v>
      </c>
    </row>
    <row r="22" spans="1:14" x14ac:dyDescent="0.3">
      <c r="A22" s="1" t="str">
        <f>'Konstanta b'!A22</f>
        <v>Oil A 1000 LT</v>
      </c>
      <c r="B22" s="6">
        <f>B16</f>
        <v>0</v>
      </c>
      <c r="C22" s="6">
        <f>'Konstanta a'!B22+('Konstanta b'!B22*Peramalan!$Q$1)</f>
        <v>23458.3</v>
      </c>
      <c r="D22" s="6">
        <f>'Konstanta a'!C22+('Konstanta b'!C22*Peramalan!$Q$1)</f>
        <v>38464.939999999995</v>
      </c>
      <c r="E22" s="6">
        <f>'Konstanta a'!D22+('Konstanta b'!D22*Peramalan!$Q$1)</f>
        <v>33695.836000000003</v>
      </c>
      <c r="F22" s="6">
        <f>'Konstanta a'!E22+('Konstanta b'!E22*Peramalan!$Q$1)</f>
        <v>39687.928800000009</v>
      </c>
      <c r="G22" s="6">
        <f>'Konstanta a'!F22+('Konstanta b'!F22*Peramalan!$Q$1)</f>
        <v>29383.077599999997</v>
      </c>
      <c r="H22" s="6">
        <f>'Konstanta a'!G22+('Konstanta b'!G22*Peramalan!$Q$1)</f>
        <v>51474.134751999991</v>
      </c>
      <c r="I22" s="6">
        <f>'Konstanta a'!H22+('Konstanta b'!H22*Peramalan!$Q$1)</f>
        <v>81561.597766399995</v>
      </c>
      <c r="J22" s="6">
        <f>'Konstanta a'!I22+('Konstanta b'!I22*Peramalan!$Q$1)</f>
        <v>68994.30080895999</v>
      </c>
      <c r="K22" s="6">
        <f>'Konstanta a'!J22+('Konstanta b'!J22*Peramalan!$Q$1)</f>
        <v>27848.537774847995</v>
      </c>
      <c r="L22" s="6">
        <f>'Konstanta a'!K22+('Konstanta b'!K22*Peramalan!$Q$1)</f>
        <v>20743.017038591999</v>
      </c>
      <c r="M22" s="6">
        <f>'Konstanta a'!L22+('Konstanta b'!L22*Peramalan!$Q$1)</f>
        <v>20857.026847365123</v>
      </c>
      <c r="N22" s="6">
        <f>SUM(B2:B6)</f>
        <v>0</v>
      </c>
    </row>
    <row r="23" spans="1:14" x14ac:dyDescent="0.3">
      <c r="A23" s="1" t="str">
        <f>'Konstanta b'!A23</f>
        <v>Oil B 20 LT</v>
      </c>
      <c r="B23" s="6">
        <f>B17</f>
        <v>0</v>
      </c>
      <c r="C23" s="6">
        <f>'Konstanta a'!B23+('Konstanta b'!B23*Peramalan!$Q$1)</f>
        <v>4698.6499999999996</v>
      </c>
      <c r="D23" s="6">
        <f>'Konstanta a'!C23+('Konstanta b'!C23*Peramalan!$Q$1)</f>
        <v>7855.73</v>
      </c>
      <c r="E23" s="6">
        <f>'Konstanta a'!D23+('Konstanta b'!D23*Peramalan!$Q$1)</f>
        <v>8594.1219999999994</v>
      </c>
      <c r="F23" s="6">
        <f>'Konstanta a'!E23+('Konstanta b'!E23*Peramalan!$Q$1)</f>
        <v>7606.4836000000005</v>
      </c>
      <c r="G23" s="6">
        <f>'Konstanta a'!F23+('Konstanta b'!F23*Peramalan!$Q$1)</f>
        <v>38404.097999999998</v>
      </c>
      <c r="H23" s="6">
        <f>'Konstanta a'!G23+('Konstanta b'!G23*Peramalan!$Q$1)</f>
        <v>19654.535503999999</v>
      </c>
      <c r="I23" s="6">
        <f>'Konstanta a'!H23+('Konstanta b'!H23*Peramalan!$Q$1)</f>
        <v>12218.602524800001</v>
      </c>
      <c r="J23" s="6">
        <f>'Konstanta a'!I23+('Konstanta b'!I23*Peramalan!$Q$1)</f>
        <v>15820.155848319999</v>
      </c>
      <c r="K23" s="6">
        <f>'Konstanta a'!J23+('Konstanta b'!J23*Peramalan!$Q$1)</f>
        <v>17374.930109055997</v>
      </c>
      <c r="L23" s="6">
        <f>'Konstanta a'!K23+('Konstanta b'!K23*Peramalan!$Q$1)</f>
        <v>32253.540025472001</v>
      </c>
      <c r="M23" s="6">
        <f>'Konstanta a'!L23+('Konstanta b'!L23*Peramalan!$Q$1)</f>
        <v>15176.985191306238</v>
      </c>
    </row>
    <row r="24" spans="1:14" x14ac:dyDescent="0.3">
      <c r="A24" s="1" t="str">
        <f>'Konstanta b'!A24</f>
        <v>Oil B 200 LT</v>
      </c>
      <c r="B24" s="6">
        <f>B18</f>
        <v>0</v>
      </c>
      <c r="C24" s="6">
        <f>'Konstanta a'!B24+('Konstanta b'!B24*Peramalan!$Q$1)</f>
        <v>1033.08</v>
      </c>
      <c r="D24" s="6">
        <f>'Konstanta a'!C24+('Konstanta b'!C24*Peramalan!$Q$1)</f>
        <v>20588.967999999997</v>
      </c>
      <c r="E24" s="6">
        <f>'Konstanta a'!D24+('Konstanta b'!D24*Peramalan!$Q$1)</f>
        <v>23626.587200000002</v>
      </c>
      <c r="F24" s="6">
        <f>'Konstanta a'!E24+('Konstanta b'!E24*Peramalan!$Q$1)</f>
        <v>23546.503359999999</v>
      </c>
      <c r="G24" s="6">
        <f>'Konstanta a'!F24+('Konstanta b'!F24*Peramalan!$Q$1)</f>
        <v>29163.736639999996</v>
      </c>
      <c r="H24" s="6">
        <f>'Konstanta a'!G24+('Konstanta b'!G24*Peramalan!$Q$1)</f>
        <v>23309.350758399993</v>
      </c>
      <c r="I24" s="6">
        <f>'Konstanta a'!H24+('Konstanta b'!H24*Peramalan!$Q$1)</f>
        <v>48979.162119679997</v>
      </c>
      <c r="J24" s="6">
        <f>'Konstanta a'!I24+('Konstanta b'!I24*Peramalan!$Q$1)</f>
        <v>41812.962670591995</v>
      </c>
      <c r="K24" s="6">
        <f>'Konstanta a'!J24+('Konstanta b'!J24*Peramalan!$Q$1)</f>
        <v>34898.410441625601</v>
      </c>
      <c r="L24" s="6">
        <f>'Konstanta a'!K24+('Konstanta b'!K24*Peramalan!$Q$1)</f>
        <v>49433.441968537612</v>
      </c>
      <c r="M24" s="6">
        <f>'Konstanta a'!L24+('Konstanta b'!L24*Peramalan!$Q$1)</f>
        <v>54186.520203259926</v>
      </c>
    </row>
    <row r="25" spans="1:14" x14ac:dyDescent="0.3">
      <c r="A25" s="1">
        <f>'Konstanta b'!A25</f>
        <v>0.5</v>
      </c>
      <c r="B25" s="1" t="str">
        <f>'Konstanta b'!B25</f>
        <v>T1</v>
      </c>
      <c r="C25" s="1" t="str">
        <f>'Konstanta b'!C25</f>
        <v>T2</v>
      </c>
      <c r="D25" s="1" t="str">
        <f>'Konstanta b'!D25</f>
        <v>T3</v>
      </c>
      <c r="E25" s="1" t="str">
        <f>'Konstanta b'!E25</f>
        <v>T4</v>
      </c>
      <c r="F25" s="1" t="str">
        <f>'Konstanta b'!F25</f>
        <v>T5</v>
      </c>
      <c r="G25" s="1" t="str">
        <f>'Konstanta b'!G25</f>
        <v>T6</v>
      </c>
      <c r="H25" s="1" t="str">
        <f>'Konstanta b'!H25</f>
        <v>T7</v>
      </c>
      <c r="I25" s="1" t="str">
        <f>'Konstanta b'!I25</f>
        <v>T8</v>
      </c>
      <c r="J25" s="1" t="str">
        <f>'Konstanta b'!J25</f>
        <v>T9</v>
      </c>
      <c r="K25" s="1" t="str">
        <f>'Konstanta b'!K25</f>
        <v>T10</v>
      </c>
      <c r="L25" s="1" t="str">
        <f>'Konstanta b'!L25</f>
        <v>T11</v>
      </c>
      <c r="M25" s="1" t="str">
        <f>'Konstanta b'!M25</f>
        <v>T12</v>
      </c>
    </row>
    <row r="26" spans="1:14" x14ac:dyDescent="0.3">
      <c r="A26" s="1" t="str">
        <f>'Konstanta b'!A26</f>
        <v>Oil A 20 LT</v>
      </c>
      <c r="B26" s="6">
        <f>B20</f>
        <v>0</v>
      </c>
      <c r="C26" s="6">
        <f>'Konstanta a'!B26+('Konstanta b'!B26*Peramalan!$Q$1)</f>
        <v>12588.09</v>
      </c>
      <c r="D26" s="6">
        <f>'Konstanta a'!C26+('Konstanta b'!C26*Peramalan!$Q$1)</f>
        <v>4789.7499999999982</v>
      </c>
      <c r="E26" s="6">
        <f>'Konstanta a'!D26+('Konstanta b'!D26*Peramalan!$Q$1)</f>
        <v>19076.255000000001</v>
      </c>
      <c r="F26" s="6">
        <f>'Konstanta a'!E26+('Konstanta b'!E26*Peramalan!$Q$1)</f>
        <v>13210.407499999998</v>
      </c>
      <c r="G26" s="6">
        <f>'Konstanta a'!F26+('Konstanta b'!F26*Peramalan!$Q$1)</f>
        <v>9211.276249999999</v>
      </c>
      <c r="H26" s="6">
        <f>'Konstanta a'!G26+('Konstanta b'!G26*Peramalan!$Q$1)</f>
        <v>7272.2893749999985</v>
      </c>
      <c r="I26" s="6">
        <f>'Konstanta a'!H26+('Konstanta b'!H26*Peramalan!$Q$1)</f>
        <v>17095.850312499999</v>
      </c>
      <c r="J26" s="6">
        <f>'Konstanta a'!I26+('Konstanta b'!I26*Peramalan!$Q$1)</f>
        <v>12623.40796875</v>
      </c>
      <c r="K26" s="6">
        <f>'Konstanta a'!J26+('Konstanta b'!J26*Peramalan!$Q$1)</f>
        <v>10955.485390624999</v>
      </c>
      <c r="L26" s="6">
        <f>'Konstanta a'!K26+('Konstanta b'!K26*Peramalan!$Q$1)</f>
        <v>8038.8108984374976</v>
      </c>
      <c r="M26" s="6">
        <f>'Konstanta a'!L26+('Konstanta b'!L26*Peramalan!$Q$1)</f>
        <v>17145.134550781251</v>
      </c>
    </row>
    <row r="27" spans="1:14" x14ac:dyDescent="0.3">
      <c r="A27" s="1" t="str">
        <f>'Konstanta b'!A27</f>
        <v>Oil A 200 LT</v>
      </c>
      <c r="B27" s="6">
        <f>B21</f>
        <v>0</v>
      </c>
      <c r="C27" s="6">
        <f>'Konstanta a'!B27+('Konstanta b'!B27*Peramalan!$Q$1)</f>
        <v>459915.78</v>
      </c>
      <c r="D27" s="6">
        <f>'Konstanta a'!C27+('Konstanta b'!C27*Peramalan!$Q$1)</f>
        <v>397220.76</v>
      </c>
      <c r="E27" s="6">
        <f>'Konstanta a'!D27+('Konstanta b'!D27*Peramalan!$Q$1)</f>
        <v>373565.22499999998</v>
      </c>
      <c r="F27" s="6">
        <f>'Konstanta a'!E27+('Konstanta b'!E27*Peramalan!$Q$1)</f>
        <v>488234.89999999997</v>
      </c>
      <c r="G27" s="6">
        <f>'Konstanta a'!F27+('Konstanta b'!F27*Peramalan!$Q$1)</f>
        <v>216495.09875000006</v>
      </c>
      <c r="H27" s="6">
        <f>'Konstanta a'!G27+('Konstanta b'!G27*Peramalan!$Q$1)</f>
        <v>321898.48875000002</v>
      </c>
      <c r="I27" s="6">
        <f>'Konstanta a'!H27+('Konstanta b'!H27*Peramalan!$Q$1)</f>
        <v>447549.5440625</v>
      </c>
      <c r="J27" s="6">
        <f>'Konstanta a'!I27+('Konstanta b'!I27*Peramalan!$Q$1)</f>
        <v>531326.77187499998</v>
      </c>
      <c r="K27" s="6">
        <f>'Konstanta a'!J27+('Konstanta b'!J27*Peramalan!$Q$1)</f>
        <v>548713.94085937506</v>
      </c>
      <c r="L27" s="6">
        <f>'Konstanta a'!K27+('Konstanta b'!K27*Peramalan!$Q$1)</f>
        <v>556728.05789062497</v>
      </c>
      <c r="M27" s="6">
        <f>'Konstanta a'!L27+('Konstanta b'!L27*Peramalan!$Q$1)</f>
        <v>505968.9376757812</v>
      </c>
    </row>
    <row r="28" spans="1:14" x14ac:dyDescent="0.3">
      <c r="A28" s="1" t="str">
        <f>'Konstanta b'!A28</f>
        <v>Oil A 1000 LT</v>
      </c>
      <c r="B28" s="6">
        <f>B22</f>
        <v>0</v>
      </c>
      <c r="C28" s="6">
        <f>'Konstanta a'!B28+('Konstanta b'!B28*Peramalan!$Q$1)</f>
        <v>23458.3</v>
      </c>
      <c r="D28" s="6">
        <f>'Konstanta a'!C28+('Konstanta b'!C28*Peramalan!$Q$1)</f>
        <v>42216.599999999991</v>
      </c>
      <c r="E28" s="6">
        <f>'Konstanta a'!D28+('Konstanta b'!D28*Peramalan!$Q$1)</f>
        <v>33441.474999999991</v>
      </c>
      <c r="F28" s="6">
        <f>'Konstanta a'!E28+('Konstanta b'!E28*Peramalan!$Q$1)</f>
        <v>40700.299999999996</v>
      </c>
      <c r="G28" s="6">
        <f>'Konstanta a'!F28+('Konstanta b'!F28*Peramalan!$Q$1)</f>
        <v>26668.856249999997</v>
      </c>
      <c r="H28" s="6">
        <f>'Konstanta a'!G28+('Konstanta b'!G28*Peramalan!$Q$1)</f>
        <v>55814.481249999997</v>
      </c>
      <c r="I28" s="6">
        <f>'Konstanta a'!H28+('Konstanta b'!H28*Peramalan!$Q$1)</f>
        <v>89971.292187499988</v>
      </c>
      <c r="J28" s="6">
        <f>'Konstanta a'!I28+('Konstanta b'!I28*Peramalan!$Q$1)</f>
        <v>67268.346874999988</v>
      </c>
      <c r="K28" s="6">
        <f>'Konstanta a'!J28+('Konstanta b'!J28*Peramalan!$Q$1)</f>
        <v>15500.123828124997</v>
      </c>
      <c r="L28" s="6">
        <f>'Konstanta a'!K28+('Konstanta b'!K28*Peramalan!$Q$1)</f>
        <v>14449.662109375007</v>
      </c>
      <c r="M28" s="6">
        <f>'Konstanta a'!L28+('Konstanta b'!L28*Peramalan!$Q$1)</f>
        <v>19273.981152343753</v>
      </c>
    </row>
    <row r="29" spans="1:14" x14ac:dyDescent="0.3">
      <c r="A29" s="1" t="str">
        <f>'Konstanta b'!A29</f>
        <v>Oil B 20 LT</v>
      </c>
      <c r="B29" s="6">
        <f>B23</f>
        <v>0</v>
      </c>
      <c r="C29" s="6">
        <f>'Konstanta a'!B29+('Konstanta b'!B29*Peramalan!$Q$1)</f>
        <v>4698.6499999999996</v>
      </c>
      <c r="D29" s="6">
        <f>'Konstanta a'!C29+('Konstanta b'!C29*Peramalan!$Q$1)</f>
        <v>8645</v>
      </c>
      <c r="E29" s="6">
        <f>'Konstanta a'!D29+('Konstanta b'!D29*Peramalan!$Q$1)</f>
        <v>8976.0374999999985</v>
      </c>
      <c r="F29" s="6">
        <f>'Konstanta a'!E29+('Konstanta b'!E29*Peramalan!$Q$1)</f>
        <v>7366.2599999999993</v>
      </c>
      <c r="G29" s="6">
        <f>'Konstanta a'!F29+('Konstanta b'!F29*Peramalan!$Q$1)</f>
        <v>45912.180624999994</v>
      </c>
      <c r="H29" s="6">
        <f>'Konstanta a'!G29+('Konstanta b'!G29*Peramalan!$Q$1)</f>
        <v>16740.435624999991</v>
      </c>
      <c r="I29" s="6">
        <f>'Konstanta a'!H29+('Konstanta b'!H29*Peramalan!$Q$1)</f>
        <v>8682.8354687499959</v>
      </c>
      <c r="J29" s="6">
        <f>'Konstanta a'!I29+('Konstanta b'!I29*Peramalan!$Q$1)</f>
        <v>15220.944062499999</v>
      </c>
      <c r="K29" s="6">
        <f>'Konstanta a'!J29+('Konstanta b'!J29*Peramalan!$Q$1)</f>
        <v>17396.7351953125</v>
      </c>
      <c r="L29" s="6">
        <f>'Konstanta a'!K29+('Konstanta b'!K29*Peramalan!$Q$1)</f>
        <v>35827.199179687494</v>
      </c>
      <c r="M29" s="6">
        <f>'Konstanta a'!L29+('Konstanta b'!L29*Peramalan!$Q$1)</f>
        <v>11646.015380859371</v>
      </c>
    </row>
    <row r="30" spans="1:14" x14ac:dyDescent="0.3">
      <c r="A30" s="1" t="str">
        <f>'Konstanta b'!A30</f>
        <v>Oil B 200 LT</v>
      </c>
      <c r="B30" s="6">
        <f>B24</f>
        <v>0</v>
      </c>
      <c r="C30" s="6">
        <f>'Konstanta a'!B30+('Konstanta b'!B30*Peramalan!$Q$1)</f>
        <v>1033.08</v>
      </c>
      <c r="D30" s="6">
        <f>'Konstanta a'!C30+('Konstanta b'!C30*Peramalan!$Q$1)</f>
        <v>25477.94</v>
      </c>
      <c r="E30" s="6">
        <f>'Konstanta a'!D30+('Konstanta b'!D30*Peramalan!$Q$1)</f>
        <v>25608.235000000001</v>
      </c>
      <c r="F30" s="6">
        <f>'Konstanta a'!E30+('Konstanta b'!E30*Peramalan!$Q$1)</f>
        <v>23471.885000000002</v>
      </c>
      <c r="G30" s="6">
        <f>'Konstanta a'!F30+('Konstanta b'!F30*Peramalan!$Q$1)</f>
        <v>29779.501249999994</v>
      </c>
      <c r="H30" s="6">
        <f>'Konstanta a'!G30+('Konstanta b'!G30*Peramalan!$Q$1)</f>
        <v>21241.119999999999</v>
      </c>
      <c r="I30" s="6">
        <f>'Konstanta a'!H30+('Konstanta b'!H30*Peramalan!$Q$1)</f>
        <v>54053.267187499994</v>
      </c>
      <c r="J30" s="6">
        <f>'Konstanta a'!I30+('Konstanta b'!I30*Peramalan!$Q$1)</f>
        <v>40697.567187499997</v>
      </c>
      <c r="K30" s="6">
        <f>'Konstanta a'!J30+('Konstanta b'!J30*Peramalan!$Q$1)</f>
        <v>31727.105390625002</v>
      </c>
      <c r="L30" s="6">
        <f>'Konstanta a'!K30+('Konstanta b'!K30*Peramalan!$Q$1)</f>
        <v>51238.873593750017</v>
      </c>
      <c r="M30" s="6">
        <f>'Konstanta a'!L30+('Konstanta b'!L30*Peramalan!$Q$1)</f>
        <v>55148.282246093746</v>
      </c>
    </row>
    <row r="31" spans="1:14" x14ac:dyDescent="0.3">
      <c r="A31" s="1">
        <f>'Konstanta b'!A31</f>
        <v>0.6</v>
      </c>
      <c r="B31" s="1" t="str">
        <f>'Konstanta b'!B31</f>
        <v>T1</v>
      </c>
      <c r="C31" s="1" t="str">
        <f>'Konstanta b'!C31</f>
        <v>T2</v>
      </c>
      <c r="D31" s="1" t="str">
        <f>'Konstanta b'!D31</f>
        <v>T3</v>
      </c>
      <c r="E31" s="1" t="str">
        <f>'Konstanta b'!E31</f>
        <v>T4</v>
      </c>
      <c r="F31" s="1" t="str">
        <f>'Konstanta b'!F31</f>
        <v>T5</v>
      </c>
      <c r="G31" s="1" t="str">
        <f>'Konstanta b'!G31</f>
        <v>T6</v>
      </c>
      <c r="H31" s="1" t="str">
        <f>'Konstanta b'!H31</f>
        <v>T7</v>
      </c>
      <c r="I31" s="1" t="str">
        <f>'Konstanta b'!I31</f>
        <v>T8</v>
      </c>
      <c r="J31" s="1" t="str">
        <f>'Konstanta b'!J31</f>
        <v>T9</v>
      </c>
      <c r="K31" s="1" t="str">
        <f>'Konstanta b'!K31</f>
        <v>T10</v>
      </c>
      <c r="L31" s="1" t="str">
        <f>'Konstanta b'!L31</f>
        <v>T11</v>
      </c>
      <c r="M31" s="1" t="str">
        <f>'Konstanta b'!M31</f>
        <v>T12</v>
      </c>
    </row>
    <row r="32" spans="1:14" x14ac:dyDescent="0.3">
      <c r="A32" s="1" t="str">
        <f>'Konstanta b'!A32</f>
        <v>Oil A 20 LT</v>
      </c>
      <c r="B32" s="6">
        <f>B26</f>
        <v>0</v>
      </c>
      <c r="C32" s="6">
        <f>'Konstanta a'!B32+('Konstanta b'!B32*Peramalan!$Q$1)</f>
        <v>12588.09</v>
      </c>
      <c r="D32" s="6">
        <f>'Konstanta a'!C32+('Konstanta b'!C32*Peramalan!$Q$1)</f>
        <v>-2618.6729999999989</v>
      </c>
      <c r="E32" s="6">
        <f>'Konstanta a'!D32+('Konstanta b'!D32*Peramalan!$Q$1)</f>
        <v>24011.773199999996</v>
      </c>
      <c r="F32" s="6">
        <f>'Konstanta a'!E32+('Konstanta b'!E32*Peramalan!$Q$1)</f>
        <v>14066.081339999992</v>
      </c>
      <c r="G32" s="6">
        <f>'Konstanta a'!F32+('Konstanta b'!F32*Peramalan!$Q$1)</f>
        <v>6397.3710899999951</v>
      </c>
      <c r="H32" s="6">
        <f>'Konstanta a'!G32+('Konstanta b'!G32*Peramalan!$Q$1)</f>
        <v>2023.4477345999921</v>
      </c>
      <c r="I32" s="6">
        <f>'Konstanta a'!H32+('Konstanta b'!H32*Peramalan!$Q$1)</f>
        <v>20474.628062579992</v>
      </c>
      <c r="J32" s="6">
        <f>'Konstanta a'!I32+('Konstanta b'!I32*Peramalan!$Q$1)</f>
        <v>12904.095296897991</v>
      </c>
      <c r="K32" s="6">
        <f>'Konstanta a'!J32+('Konstanta b'!J32*Peramalan!$Q$1)</f>
        <v>9764.635083438583</v>
      </c>
      <c r="L32" s="6">
        <f>'Konstanta a'!K32+('Konstanta b'!K32*Peramalan!$Q$1)</f>
        <v>3859.6648015868873</v>
      </c>
      <c r="M32" s="6">
        <f>'Konstanta a'!L32+('Konstanta b'!L32*Peramalan!$Q$1)</f>
        <v>21006.715512025057</v>
      </c>
    </row>
    <row r="33" spans="1:13" x14ac:dyDescent="0.3">
      <c r="A33" s="1" t="str">
        <f>'Konstanta b'!A33</f>
        <v>Oil A 200 LT</v>
      </c>
      <c r="B33" s="6">
        <f>B27</f>
        <v>0</v>
      </c>
      <c r="C33" s="6">
        <f>'Konstanta a'!B33+('Konstanta b'!B33*Peramalan!$Q$1)</f>
        <v>459915.78</v>
      </c>
      <c r="D33" s="6">
        <f>'Konstanta a'!C33+('Konstanta b'!C33*Peramalan!$Q$1)</f>
        <v>337660.49099999998</v>
      </c>
      <c r="E33" s="6">
        <f>'Konstanta a'!D33+('Konstanta b'!D33*Peramalan!$Q$1)</f>
        <v>281657.73209999996</v>
      </c>
      <c r="F33" s="6">
        <f>'Konstanta a'!E33+('Konstanta b'!E33*Peramalan!$Q$1)</f>
        <v>495448.59776999976</v>
      </c>
      <c r="G33" s="6">
        <f>'Konstanta a'!F33+('Konstanta b'!F33*Peramalan!$Q$1)</f>
        <v>-21367.174455000146</v>
      </c>
      <c r="H33" s="6">
        <f>'Konstanta a'!G33+('Konstanta b'!G33*Peramalan!$Q$1)</f>
        <v>151450.78181129985</v>
      </c>
      <c r="I33" s="6">
        <f>'Konstanta a'!H33+('Konstanta b'!H33*Peramalan!$Q$1)</f>
        <v>393427.92315848987</v>
      </c>
      <c r="J33" s="6">
        <f>'Konstanta a'!I33+('Konstanta b'!I33*Peramalan!$Q$1)</f>
        <v>579087.99045396876</v>
      </c>
      <c r="K33" s="6">
        <f>'Konstanta a'!J33+('Konstanta b'!J33*Peramalan!$Q$1)</f>
        <v>644445.19985310314</v>
      </c>
      <c r="L33" s="6">
        <f>'Konstanta a'!K33+('Konstanta b'!K33*Peramalan!$Q$1)</f>
        <v>684576.1522456049</v>
      </c>
      <c r="M33" s="6">
        <f>'Konstanta a'!L33+('Konstanta b'!L33*Peramalan!$Q$1)</f>
        <v>601719.70857216942</v>
      </c>
    </row>
    <row r="34" spans="1:13" x14ac:dyDescent="0.3">
      <c r="A34" s="1" t="str">
        <f>'Konstanta b'!A34</f>
        <v>Oil A 1000 LT</v>
      </c>
      <c r="B34" s="6">
        <f>B28</f>
        <v>0</v>
      </c>
      <c r="C34" s="6">
        <f>'Konstanta a'!B34+('Konstanta b'!B34*Peramalan!$Q$1)</f>
        <v>23458.3</v>
      </c>
      <c r="D34" s="6">
        <f>'Konstanta a'!C34+('Konstanta b'!C34*Peramalan!$Q$1)</f>
        <v>60036.985000000001</v>
      </c>
      <c r="E34" s="6">
        <f>'Konstanta a'!D34+('Konstanta b'!D34*Peramalan!$Q$1)</f>
        <v>45879.92349999999</v>
      </c>
      <c r="F34" s="6">
        <f>'Konstanta a'!E34+('Konstanta b'!E34*Peramalan!$Q$1)</f>
        <v>60474.449949999987</v>
      </c>
      <c r="G34" s="6">
        <f>'Konstanta a'!F34+('Konstanta b'!F34*Peramalan!$Q$1)</f>
        <v>34207.791474999998</v>
      </c>
      <c r="H34" s="6">
        <f>'Konstanta a'!G34+('Konstanta b'!G34*Peramalan!$Q$1)</f>
        <v>89173.857935499997</v>
      </c>
      <c r="I34" s="6">
        <f>'Konstanta a'!H34+('Konstanta b'!H34*Peramalan!$Q$1)</f>
        <v>158757.83438514997</v>
      </c>
      <c r="J34" s="6">
        <f>'Konstanta a'!I34+('Konstanta b'!I34*Peramalan!$Q$1)</f>
        <v>121423.97284391499</v>
      </c>
      <c r="K34" s="6">
        <f>'Konstanta a'!J34+('Konstanta b'!J34*Peramalan!$Q$1)</f>
        <v>20503.571318435497</v>
      </c>
      <c r="L34" s="6">
        <f>'Konstanta a'!K34+('Konstanta b'!K34*Peramalan!$Q$1)</f>
        <v>8871.3574901567408</v>
      </c>
      <c r="M34" s="6">
        <f>'Konstanta a'!L34+('Konstanta b'!L34*Peramalan!$Q$1)</f>
        <v>10763.299062567001</v>
      </c>
    </row>
    <row r="35" spans="1:13" x14ac:dyDescent="0.3">
      <c r="A35" s="1" t="str">
        <f>'Konstanta b'!A35</f>
        <v>Oil B 20 LT</v>
      </c>
      <c r="B35" s="6">
        <f>B29</f>
        <v>0</v>
      </c>
      <c r="C35" s="6">
        <f>'Konstanta a'!B35+('Konstanta b'!B35*Peramalan!$Q$1)</f>
        <v>4698.6499999999996</v>
      </c>
      <c r="D35" s="6">
        <f>'Konstanta a'!C35+('Konstanta b'!C35*Peramalan!$Q$1)</f>
        <v>12394.032499999998</v>
      </c>
      <c r="E35" s="6">
        <f>'Konstanta a'!D35+('Konstanta b'!D35*Peramalan!$Q$1)</f>
        <v>13661.105750000002</v>
      </c>
      <c r="F35" s="6">
        <f>'Konstanta a'!E35+('Konstanta b'!E35*Peramalan!$Q$1)</f>
        <v>10957.467275000003</v>
      </c>
      <c r="G35" s="6">
        <f>'Konstanta a'!F35+('Konstanta b'!F35*Peramalan!$Q$1)</f>
        <v>86069.700987499993</v>
      </c>
      <c r="H35" s="6">
        <f>'Konstanta a'!G35+('Konstanta b'!G35*Peramalan!$Q$1)</f>
        <v>35116.348064749996</v>
      </c>
      <c r="I35" s="6">
        <f>'Konstanta a'!H35+('Konstanta b'!H35*Peramalan!$Q$1)</f>
        <v>18367.886828675</v>
      </c>
      <c r="J35" s="6">
        <f>'Konstanta a'!I35+('Konstanta b'!I35*Peramalan!$Q$1)</f>
        <v>28458.295673967496</v>
      </c>
      <c r="K35" s="6">
        <f>'Konstanta a'!J35+('Konstanta b'!J35*Peramalan!$Q$1)</f>
        <v>31508.585117834744</v>
      </c>
      <c r="L35" s="6">
        <f>'Konstanta a'!K35+('Konstanta b'!K35*Peramalan!$Q$1)</f>
        <v>66704.834210556859</v>
      </c>
      <c r="M35" s="6">
        <f>'Konstanta a'!L35+('Konstanta b'!L35*Peramalan!$Q$1)</f>
        <v>21666.815831303415</v>
      </c>
    </row>
    <row r="36" spans="1:13" x14ac:dyDescent="0.3">
      <c r="A36" s="1" t="str">
        <f>'Konstanta b'!A36</f>
        <v>Oil B 200 LT</v>
      </c>
      <c r="B36" s="6">
        <f>B30</f>
        <v>0</v>
      </c>
      <c r="C36" s="6">
        <f>'Konstanta a'!B36+('Konstanta b'!B36*Peramalan!$Q$1)</f>
        <v>1033.08</v>
      </c>
      <c r="D36" s="6">
        <f>'Konstanta a'!C36+('Konstanta b'!C36*Peramalan!$Q$1)</f>
        <v>48700.556999999993</v>
      </c>
      <c r="E36" s="6">
        <f>'Konstanta a'!D36+('Konstanta b'!D36*Peramalan!$Q$1)</f>
        <v>52804.697699999997</v>
      </c>
      <c r="F36" s="6">
        <f>'Konstanta a'!E36+('Konstanta b'!E36*Peramalan!$Q$1)</f>
        <v>51033.543689999991</v>
      </c>
      <c r="G36" s="6">
        <f>'Konstanta a'!F36+('Konstanta b'!F36*Peramalan!$Q$1)</f>
        <v>64056.884624999992</v>
      </c>
      <c r="H36" s="6">
        <f>'Konstanta a'!G36+('Konstanta b'!G36*Peramalan!$Q$1)</f>
        <v>48215.515784099989</v>
      </c>
      <c r="I36" s="6">
        <f>'Konstanta a'!H36+('Konstanta b'!H36*Peramalan!$Q$1)</f>
        <v>110653.19195432997</v>
      </c>
      <c r="J36" s="6">
        <f>'Konstanta a'!I36+('Konstanta b'!I36*Peramalan!$Q$1)</f>
        <v>87992.34725835298</v>
      </c>
      <c r="K36" s="6">
        <f>'Konstanta a'!J36+('Konstanta b'!J36*Peramalan!$Q$1)</f>
        <v>69744.900932300094</v>
      </c>
      <c r="L36" s="6">
        <f>'Konstanta a'!K36+('Konstanta b'!K36*Peramalan!$Q$1)</f>
        <v>104685.64119898304</v>
      </c>
      <c r="M36" s="6">
        <f>'Konstanta a'!L36+('Konstanta b'!L36*Peramalan!$Q$1)</f>
        <v>112237.52382304991</v>
      </c>
    </row>
    <row r="37" spans="1:13" x14ac:dyDescent="0.3">
      <c r="A37" s="1">
        <f>'Konstanta b'!A37</f>
        <v>0.7</v>
      </c>
      <c r="B37" s="1" t="str">
        <f>'Konstanta b'!B37</f>
        <v>T1</v>
      </c>
      <c r="C37" s="1" t="str">
        <f>'Konstanta b'!C37</f>
        <v>T2</v>
      </c>
      <c r="D37" s="1" t="str">
        <f>'Konstanta b'!D37</f>
        <v>T3</v>
      </c>
      <c r="E37" s="1" t="str">
        <f>'Konstanta b'!E37</f>
        <v>T4</v>
      </c>
      <c r="F37" s="1" t="str">
        <f>'Konstanta b'!F37</f>
        <v>T5</v>
      </c>
      <c r="G37" s="1" t="str">
        <f>'Konstanta b'!G37</f>
        <v>T6</v>
      </c>
      <c r="H37" s="1" t="str">
        <f>'Konstanta b'!H37</f>
        <v>T7</v>
      </c>
      <c r="I37" s="1" t="str">
        <f>'Konstanta b'!I37</f>
        <v>T8</v>
      </c>
      <c r="J37" s="1" t="str">
        <f>'Konstanta b'!J37</f>
        <v>T9</v>
      </c>
      <c r="K37" s="1" t="str">
        <f>'Konstanta b'!K37</f>
        <v>T10</v>
      </c>
      <c r="L37" s="1" t="str">
        <f>'Konstanta b'!L37</f>
        <v>T11</v>
      </c>
      <c r="M37" s="1" t="str">
        <f>'Konstanta b'!M37</f>
        <v>T12</v>
      </c>
    </row>
    <row r="38" spans="1:13" x14ac:dyDescent="0.3">
      <c r="A38" s="1" t="str">
        <f>'Konstanta b'!A38</f>
        <v>Oil A 20 LT</v>
      </c>
      <c r="B38" s="6">
        <f>B32</f>
        <v>0</v>
      </c>
      <c r="C38" s="6">
        <f>'Konstanta a'!B38+('Konstanta b'!B38*Peramalan!$Q$1)</f>
        <v>12588.09</v>
      </c>
      <c r="D38" s="6">
        <f>'Konstanta a'!C38+('Konstanta b'!C38*Peramalan!$Q$1)</f>
        <v>-9247.2619999999988</v>
      </c>
      <c r="E38" s="6">
        <f>'Konstanta a'!D38+('Konstanta b'!D38*Peramalan!$Q$1)</f>
        <v>31300.835800000001</v>
      </c>
      <c r="F38" s="6">
        <f>'Konstanta a'!E38+('Konstanta b'!E38*Peramalan!$Q$1)</f>
        <v>13739.936499999991</v>
      </c>
      <c r="G38" s="6">
        <f>'Konstanta a'!F38+('Konstanta b'!F38*Peramalan!$Q$1)</f>
        <v>3198.8980339999862</v>
      </c>
      <c r="H38" s="6">
        <f>'Konstanta a'!G38+('Konstanta b'!G38*Peramalan!$Q$1)</f>
        <v>-1783.2490142000152</v>
      </c>
      <c r="I38" s="6">
        <f>'Konstanta a'!H38+('Konstanta b'!H38*Peramalan!$Q$1)</f>
        <v>25793.485913779987</v>
      </c>
      <c r="J38" s="6">
        <f>'Konstanta a'!I38+('Konstanta b'!I38*Peramalan!$Q$1)</f>
        <v>12494.222330369987</v>
      </c>
      <c r="K38" s="6">
        <f>'Konstanta a'!J38+('Konstanta b'!J38*Peramalan!$Q$1)</f>
        <v>8367.5891997233884</v>
      </c>
      <c r="L38" s="6">
        <f>'Konstanta a'!K38+('Konstanta b'!K38*Peramalan!$Q$1)</f>
        <v>476.94751046816782</v>
      </c>
      <c r="M38" s="6">
        <f>'Konstanta a'!L38+('Konstanta b'!L38*Peramalan!$Q$1)</f>
        <v>26183.639728636481</v>
      </c>
    </row>
    <row r="39" spans="1:13" x14ac:dyDescent="0.3">
      <c r="A39" s="1" t="str">
        <f>'Konstanta b'!A39</f>
        <v>Oil A 200 LT</v>
      </c>
      <c r="B39" s="6">
        <f>B33</f>
        <v>0</v>
      </c>
      <c r="C39" s="6">
        <f>'Konstanta a'!B39+('Konstanta b'!B39*Peramalan!$Q$1)</f>
        <v>459915.78</v>
      </c>
      <c r="D39" s="6">
        <f>'Konstanta a'!C39+('Konstanta b'!C39*Peramalan!$Q$1)</f>
        <v>284369.7240000001</v>
      </c>
      <c r="E39" s="6">
        <f>'Konstanta a'!D39+('Konstanta b'!D39*Peramalan!$Q$1)</f>
        <v>222522.87739999976</v>
      </c>
      <c r="F39" s="6">
        <f>'Konstanta a'!E39+('Konstanta b'!E39*Peramalan!$Q$1)</f>
        <v>544156.69199999969</v>
      </c>
      <c r="G39" s="6">
        <f>'Konstanta a'!F39+('Konstanta b'!F39*Peramalan!$Q$1)</f>
        <v>-225188.5154980002</v>
      </c>
      <c r="H39" s="6">
        <f>'Konstanta a'!G39+('Konstanta b'!G39*Peramalan!$Q$1)</f>
        <v>93065.261162399751</v>
      </c>
      <c r="I39" s="6">
        <f>'Konstanta a'!H39+('Konstanta b'!H39*Peramalan!$Q$1)</f>
        <v>437537.50257933978</v>
      </c>
      <c r="J39" s="6">
        <f>'Konstanta a'!I39+('Konstanta b'!I39*Peramalan!$Q$1)</f>
        <v>667830.99418135977</v>
      </c>
      <c r="K39" s="6">
        <f>'Konstanta a'!J39+('Konstanta b'!J39*Peramalan!$Q$1)</f>
        <v>722758.47952120984</v>
      </c>
      <c r="L39" s="6">
        <f>'Konstanta a'!K39+('Konstanta b'!K39*Peramalan!$Q$1)</f>
        <v>758066.84899648454</v>
      </c>
      <c r="M39" s="6">
        <f>'Konstanta a'!L39+('Konstanta b'!L39*Peramalan!$Q$1)</f>
        <v>625303.87152505468</v>
      </c>
    </row>
    <row r="40" spans="1:13" x14ac:dyDescent="0.3">
      <c r="A40" s="1" t="str">
        <f>'Konstanta b'!A40</f>
        <v>Oil A 1000 LT</v>
      </c>
      <c r="B40" s="6">
        <f>B34</f>
        <v>0</v>
      </c>
      <c r="C40" s="6">
        <f>'Konstanta a'!B40+('Konstanta b'!B40*Peramalan!$Q$1)</f>
        <v>23458.3</v>
      </c>
      <c r="D40" s="6">
        <f>'Konstanta a'!C40+('Konstanta b'!C40*Peramalan!$Q$1)</f>
        <v>75981.539999999964</v>
      </c>
      <c r="E40" s="6">
        <f>'Konstanta a'!D40+('Konstanta b'!D40*Peramalan!$Q$1)</f>
        <v>50098.108999999997</v>
      </c>
      <c r="F40" s="6">
        <f>'Konstanta a'!E40+('Konstanta b'!E40*Peramalan!$Q$1)</f>
        <v>71365.347999999998</v>
      </c>
      <c r="G40" s="6">
        <f>'Konstanta a'!F40+('Konstanta b'!F40*Peramalan!$Q$1)</f>
        <v>31425.471170000019</v>
      </c>
      <c r="H40" s="6">
        <f>'Konstanta a'!G40+('Konstanta b'!G40*Peramalan!$Q$1)</f>
        <v>113507.07344400001</v>
      </c>
      <c r="I40" s="6">
        <f>'Konstanta a'!H40+('Konstanta b'!H40*Peramalan!$Q$1)</f>
        <v>205984.23391689995</v>
      </c>
      <c r="J40" s="6">
        <f>'Konstanta a'!I40+('Konstanta b'!I40*Peramalan!$Q$1)</f>
        <v>139281.93987039998</v>
      </c>
      <c r="K40" s="6">
        <f>'Konstanta a'!J40+('Konstanta b'!J40*Peramalan!$Q$1)</f>
        <v>-4502.0513130830113</v>
      </c>
      <c r="L40" s="6">
        <f>'Konstanta a'!K40+('Konstanta b'!K40*Peramalan!$Q$1)</f>
        <v>-5958.6703407075947</v>
      </c>
      <c r="M40" s="6">
        <f>'Konstanta a'!L40+('Konstanta b'!L40*Peramalan!$Q$1)</f>
        <v>3167.8794456832584</v>
      </c>
    </row>
    <row r="41" spans="1:13" x14ac:dyDescent="0.3">
      <c r="A41" s="1" t="str">
        <f>'Konstanta b'!A41</f>
        <v>Oil B 20 LT</v>
      </c>
      <c r="B41" s="6">
        <f>B35</f>
        <v>0</v>
      </c>
      <c r="C41" s="6">
        <f>'Konstanta a'!B41+('Konstanta b'!B41*Peramalan!$Q$1)</f>
        <v>4698.6499999999996</v>
      </c>
      <c r="D41" s="6">
        <f>'Konstanta a'!C41+('Konstanta b'!C41*Peramalan!$Q$1)</f>
        <v>15748.43</v>
      </c>
      <c r="E41" s="6">
        <f>'Konstanta a'!D41+('Konstanta b'!D41*Peramalan!$Q$1)</f>
        <v>16399.090500000002</v>
      </c>
      <c r="F41" s="6">
        <f>'Konstanta a'!E41+('Konstanta b'!E41*Peramalan!$Q$1)</f>
        <v>11937.602000000003</v>
      </c>
      <c r="G41" s="6">
        <f>'Konstanta a'!F41+('Konstanta b'!F41*Peramalan!$Q$1)</f>
        <v>119986.729165</v>
      </c>
      <c r="H41" s="6">
        <f>'Konstanta a'!G41+('Konstanta b'!G41*Peramalan!$Q$1)</f>
        <v>35446.930458000003</v>
      </c>
      <c r="I41" s="6">
        <f>'Konstanta a'!H41+('Konstanta b'!H41*Peramalan!$Q$1)</f>
        <v>15343.043075049996</v>
      </c>
      <c r="J41" s="6">
        <f>'Konstanta a'!I41+('Konstanta b'!I41*Peramalan!$Q$1)</f>
        <v>33430.532166399993</v>
      </c>
      <c r="K41" s="6">
        <f>'Konstanta a'!J41+('Konstanta b'!J41*Peramalan!$Q$1)</f>
        <v>37311.99696941649</v>
      </c>
      <c r="L41" s="6">
        <f>'Konstanta a'!K41+('Konstanta b'!K41*Peramalan!$Q$1)</f>
        <v>87145.652678371785</v>
      </c>
      <c r="M41" s="6">
        <f>'Konstanta a'!L41+('Konstanta b'!L41*Peramalan!$Q$1)</f>
        <v>16815.608032303702</v>
      </c>
    </row>
    <row r="42" spans="1:13" x14ac:dyDescent="0.3">
      <c r="A42" s="1" t="str">
        <f>'Konstanta b'!A42</f>
        <v>Oil B 200 LT</v>
      </c>
      <c r="B42" s="6">
        <f>B36</f>
        <v>0</v>
      </c>
      <c r="C42" s="6">
        <f>'Konstanta a'!B42+('Konstanta b'!B42*Peramalan!$Q$1)</f>
        <v>1033.08</v>
      </c>
      <c r="D42" s="6">
        <f>'Konstanta a'!C42+('Konstanta b'!C42*Peramalan!$Q$1)</f>
        <v>69478.687999999995</v>
      </c>
      <c r="E42" s="6">
        <f>'Konstanta a'!D42+('Konstanta b'!D42*Peramalan!$Q$1)</f>
        <v>68132.373799999987</v>
      </c>
      <c r="F42" s="6">
        <f>'Konstanta a'!E42+('Konstanta b'!E42*Peramalan!$Q$1)</f>
        <v>62569.258200000004</v>
      </c>
      <c r="G42" s="6">
        <f>'Konstanta a'!F42+('Konstanta b'!F42*Peramalan!$Q$1)</f>
        <v>80395.241913999984</v>
      </c>
      <c r="H42" s="6">
        <f>'Konstanta a'!G42+('Konstanta b'!G42*Peramalan!$Q$1)</f>
        <v>55186.9345828</v>
      </c>
      <c r="I42" s="6">
        <f>'Konstanta a'!H42+('Konstanta b'!H42*Peramalan!$Q$1)</f>
        <v>146232.24648257997</v>
      </c>
      <c r="J42" s="6">
        <f>'Konstanta a'!I42+('Konstanta b'!I42*Peramalan!$Q$1)</f>
        <v>104435.35624174</v>
      </c>
      <c r="K42" s="6">
        <f>'Konstanta a'!J42+('Konstanta b'!J42*Peramalan!$Q$1)</f>
        <v>78416.561139791389</v>
      </c>
      <c r="L42" s="6">
        <f>'Konstanta a'!K42+('Konstanta b'!K42*Peramalan!$Q$1)</f>
        <v>131054.21118247986</v>
      </c>
      <c r="M42" s="6">
        <f>'Konstanta a'!L42+('Konstanta b'!L42*Peramalan!$Q$1)</f>
        <v>137068.59611123215</v>
      </c>
    </row>
    <row r="43" spans="1:13" x14ac:dyDescent="0.3">
      <c r="A43" s="1">
        <f>'Konstanta b'!A43</f>
        <v>0.8</v>
      </c>
      <c r="B43" s="1" t="str">
        <f>'Konstanta b'!B43</f>
        <v>T1</v>
      </c>
      <c r="C43" s="1" t="str">
        <f>'Konstanta b'!C43</f>
        <v>T2</v>
      </c>
      <c r="D43" s="1" t="str">
        <f>'Konstanta b'!D43</f>
        <v>T3</v>
      </c>
      <c r="E43" s="1" t="str">
        <f>'Konstanta b'!E43</f>
        <v>T4</v>
      </c>
      <c r="F43" s="1" t="str">
        <f>'Konstanta b'!F43</f>
        <v>T5</v>
      </c>
      <c r="G43" s="1" t="str">
        <f>'Konstanta b'!G43</f>
        <v>T6</v>
      </c>
      <c r="H43" s="1" t="str">
        <f>'Konstanta b'!H43</f>
        <v>T7</v>
      </c>
      <c r="I43" s="1" t="str">
        <f>'Konstanta b'!I43</f>
        <v>T8</v>
      </c>
      <c r="J43" s="1" t="str">
        <f>'Konstanta b'!J43</f>
        <v>T9</v>
      </c>
      <c r="K43" s="1" t="str">
        <f>'Konstanta b'!K43</f>
        <v>T10</v>
      </c>
      <c r="L43" s="1" t="str">
        <f>'Konstanta b'!L43</f>
        <v>T11</v>
      </c>
      <c r="M43" s="1" t="str">
        <f>'Konstanta b'!M43</f>
        <v>T12</v>
      </c>
    </row>
    <row r="44" spans="1:13" x14ac:dyDescent="0.3">
      <c r="A44" s="1" t="str">
        <f>'Konstanta b'!A44</f>
        <v>Oil A 20 LT</v>
      </c>
      <c r="B44" s="6">
        <f>B38</f>
        <v>0</v>
      </c>
      <c r="C44" s="6">
        <f>'Konstanta a'!B44+('Konstanta b'!B44*Peramalan!$Q$1)</f>
        <v>12588.09</v>
      </c>
      <c r="D44" s="6">
        <f>'Konstanta a'!C44+('Konstanta b'!C44*Peramalan!$Q$1)</f>
        <v>-21724.605999999985</v>
      </c>
      <c r="E44" s="6">
        <f>'Konstanta a'!D44+('Konstanta b'!D44*Peramalan!$Q$1)</f>
        <v>45659.05319999998</v>
      </c>
      <c r="F44" s="6">
        <f>'Konstanta a'!E44+('Konstanta b'!E44*Peramalan!$Q$1)</f>
        <v>12148.026799999989</v>
      </c>
      <c r="G44" s="6">
        <f>'Konstanta a'!F44+('Konstanta b'!F44*Peramalan!$Q$1)</f>
        <v>-2791.0864960000054</v>
      </c>
      <c r="H44" s="6">
        <f>'Konstanta a'!G44+('Konstanta b'!G44*Peramalan!$Q$1)</f>
        <v>-8534.5071696000105</v>
      </c>
      <c r="I44" s="6">
        <f>'Konstanta a'!H44+('Konstanta b'!H44*Peramalan!$Q$1)</f>
        <v>36121.442482719969</v>
      </c>
      <c r="J44" s="6">
        <f>'Konstanta a'!I44+('Konstanta b'!I44*Peramalan!$Q$1)</f>
        <v>10959.862021519983</v>
      </c>
      <c r="K44" s="6">
        <f>'Konstanta a'!J44+('Konstanta b'!J44*Peramalan!$Q$1)</f>
        <v>5754.9909767823865</v>
      </c>
      <c r="L44" s="6">
        <f>'Konstanta a'!K44+('Konstanta b'!K44*Peramalan!$Q$1)</f>
        <v>-5697.2450894129797</v>
      </c>
      <c r="M44" s="6">
        <f>'Konstanta a'!L44+('Konstanta b'!L44*Peramalan!$Q$1)</f>
        <v>36241.52322582488</v>
      </c>
    </row>
    <row r="45" spans="1:13" x14ac:dyDescent="0.3">
      <c r="A45" s="1" t="str">
        <f>'Konstanta b'!A45</f>
        <v>Oil A 200 LT</v>
      </c>
      <c r="B45" s="6">
        <f>B39</f>
        <v>0</v>
      </c>
      <c r="C45" s="6">
        <f>'Konstanta a'!B45+('Konstanta b'!B45*Peramalan!$Q$1)</f>
        <v>459915.78</v>
      </c>
      <c r="D45" s="6">
        <f>'Konstanta a'!C45+('Konstanta b'!C45*Peramalan!$Q$1)</f>
        <v>184057.69199999978</v>
      </c>
      <c r="E45" s="6">
        <f>'Konstanta a'!D45+('Konstanta b'!D45*Peramalan!$Q$1)</f>
        <v>116336.44959999991</v>
      </c>
      <c r="F45" s="6">
        <f>'Konstanta a'!E45+('Konstanta b'!E45*Peramalan!$Q$1)</f>
        <v>639305.35639999993</v>
      </c>
      <c r="G45" s="6">
        <f>'Konstanta a'!F45+('Konstanta b'!F45*Peramalan!$Q$1)</f>
        <v>-618460.22888799943</v>
      </c>
      <c r="H45" s="6">
        <f>'Konstanta a'!G45+('Konstanta b'!G45*Peramalan!$Q$1)</f>
        <v>350.91847119957674</v>
      </c>
      <c r="I45" s="6">
        <f>'Konstanta a'!H45+('Konstanta b'!H45*Peramalan!$Q$1)</f>
        <v>516880.86751815944</v>
      </c>
      <c r="J45" s="6">
        <f>'Konstanta a'!I45+('Konstanta b'!I45*Peramalan!$Q$1)</f>
        <v>818465.67534515902</v>
      </c>
      <c r="K45" s="6">
        <f>'Konstanta a'!J45+('Konstanta b'!J45*Peramalan!$Q$1)</f>
        <v>853983.65152640629</v>
      </c>
      <c r="L45" s="6">
        <f>'Konstanta a'!K45+('Konstanta b'!K45*Peramalan!$Q$1)</f>
        <v>888346.15511691803</v>
      </c>
      <c r="M45" s="6">
        <f>'Konstanta a'!L45+('Konstanta b'!L45*Peramalan!$Q$1)</f>
        <v>667470.99015385681</v>
      </c>
    </row>
    <row r="46" spans="1:13" x14ac:dyDescent="0.3">
      <c r="A46" s="1" t="str">
        <f>'Konstanta b'!A46</f>
        <v>Oil A 1000 LT</v>
      </c>
      <c r="B46" s="6">
        <f>B40</f>
        <v>0</v>
      </c>
      <c r="C46" s="6">
        <f>'Konstanta a'!B46+('Konstanta b'!B46*Peramalan!$Q$1)</f>
        <v>23458.3</v>
      </c>
      <c r="D46" s="6">
        <f>'Konstanta a'!C46+('Konstanta b'!C46*Peramalan!$Q$1)</f>
        <v>105994.81999999998</v>
      </c>
      <c r="E46" s="6">
        <f>'Konstanta a'!D46+('Konstanta b'!D46*Peramalan!$Q$1)</f>
        <v>56504.455999999991</v>
      </c>
      <c r="F46" s="6">
        <f>'Konstanta a'!E46+('Konstanta b'!E46*Peramalan!$Q$1)</f>
        <v>92125.985999999975</v>
      </c>
      <c r="G46" s="6">
        <f>'Konstanta a'!F46+('Konstanta b'!F46*Peramalan!$Q$1)</f>
        <v>26050.614520000003</v>
      </c>
      <c r="H46" s="6">
        <f>'Konstanta a'!G46+('Konstanta b'!G46*Peramalan!$Q$1)</f>
        <v>160745.24649199995</v>
      </c>
      <c r="I46" s="6">
        <f>'Konstanta a'!H46+('Konstanta b'!H46*Peramalan!$Q$1)</f>
        <v>293395.13252759981</v>
      </c>
      <c r="J46" s="6">
        <f>'Konstanta a'!I46+('Konstanta b'!I46*Peramalan!$Q$1)</f>
        <v>169892.03741179989</v>
      </c>
      <c r="K46" s="6">
        <f>'Konstanta a'!J46+('Konstanta b'!J46*Peramalan!$Q$1)</f>
        <v>-49875.906701987988</v>
      </c>
      <c r="L46" s="6">
        <f>'Konstanta a'!K46+('Konstanta b'!K46*Peramalan!$Q$1)</f>
        <v>-27560.704106310812</v>
      </c>
      <c r="M46" s="6">
        <f>'Konstanta a'!L46+('Konstanta b'!L46*Peramalan!$Q$1)</f>
        <v>-7761.2713105840776</v>
      </c>
    </row>
    <row r="47" spans="1:13" x14ac:dyDescent="0.3">
      <c r="A47" s="1" t="str">
        <f>'Konstanta b'!A47</f>
        <v>Oil B 20 LT</v>
      </c>
      <c r="B47" s="6">
        <f>B41</f>
        <v>0</v>
      </c>
      <c r="C47" s="6">
        <f>'Konstanta a'!B47+('Konstanta b'!B47*Peramalan!$Q$1)</f>
        <v>4698.6499999999996</v>
      </c>
      <c r="D47" s="6">
        <f>'Konstanta a'!C47+('Konstanta b'!C47*Peramalan!$Q$1)</f>
        <v>22062.589999999989</v>
      </c>
      <c r="E47" s="6">
        <f>'Konstanta a'!D47+('Konstanta b'!D47*Peramalan!$Q$1)</f>
        <v>21230.271999999997</v>
      </c>
      <c r="F47" s="6">
        <f>'Konstanta a'!E47+('Konstanta b'!E47*Peramalan!$Q$1)</f>
        <v>13659.272999999997</v>
      </c>
      <c r="G47" s="6">
        <f>'Konstanta a'!F47+('Konstanta b'!F47*Peramalan!$Q$1)</f>
        <v>184005.01213999989</v>
      </c>
      <c r="H47" s="6">
        <f>'Konstanta a'!G47+('Konstanta b'!G47*Peramalan!$Q$1)</f>
        <v>33082.500214</v>
      </c>
      <c r="I47" s="6">
        <f>'Konstanta a'!H47+('Konstanta b'!H47*Peramalan!$Q$1)</f>
        <v>11237.925650200003</v>
      </c>
      <c r="J47" s="6">
        <f>'Konstanta a'!I47+('Konstanta b'!I47*Peramalan!$Q$1)</f>
        <v>44788.760976699981</v>
      </c>
      <c r="K47" s="6">
        <f>'Konstanta a'!J47+('Konstanta b'!J47*Peramalan!$Q$1)</f>
        <v>48831.530457333982</v>
      </c>
      <c r="L47" s="6">
        <f>'Konstanta a'!K47+('Konstanta b'!K47*Peramalan!$Q$1)</f>
        <v>125902.94652726133</v>
      </c>
      <c r="M47" s="6">
        <f>'Konstanta a'!L47+('Konstanta b'!L47*Peramalan!$Q$1)</f>
        <v>6572.2216976674081</v>
      </c>
    </row>
    <row r="48" spans="1:13" x14ac:dyDescent="0.3">
      <c r="A48" s="1" t="str">
        <f>'Konstanta b'!A48</f>
        <v>Oil B 200 LT</v>
      </c>
      <c r="B48" s="6">
        <f>B42</f>
        <v>0</v>
      </c>
      <c r="C48" s="6">
        <f>'Konstanta a'!B48+('Konstanta b'!B48*Peramalan!$Q$1)</f>
        <v>1033.08</v>
      </c>
      <c r="D48" s="6">
        <f>'Konstanta a'!C48+('Konstanta b'!C48*Peramalan!$Q$1)</f>
        <v>108590.46399999998</v>
      </c>
      <c r="E48" s="6">
        <f>'Konstanta a'!D48+('Konstanta b'!D48*Peramalan!$Q$1)</f>
        <v>94985.743199999968</v>
      </c>
      <c r="F48" s="6">
        <f>'Konstanta a'!E48+('Konstanta b'!E48*Peramalan!$Q$1)</f>
        <v>83676.867599999983</v>
      </c>
      <c r="G48" s="6">
        <f>'Konstanta a'!F48+('Konstanta b'!F48*Peramalan!$Q$1)</f>
        <v>111636.67258399996</v>
      </c>
      <c r="H48" s="6">
        <f>'Konstanta a'!G48+('Konstanta b'!G48*Peramalan!$Q$1)</f>
        <v>68600.067674399994</v>
      </c>
      <c r="I48" s="6">
        <f>'Konstanta a'!H48+('Konstanta b'!H48*Peramalan!$Q$1)</f>
        <v>214678.71657671989</v>
      </c>
      <c r="J48" s="6">
        <f>'Konstanta a'!I48+('Konstanta b'!I48*Peramalan!$Q$1)</f>
        <v>133973.32325299995</v>
      </c>
      <c r="K48" s="6">
        <f>'Konstanta a'!J48+('Konstanta b'!J48*Peramalan!$Q$1)</f>
        <v>96104.323394490377</v>
      </c>
      <c r="L48" s="6">
        <f>'Konstanta a'!K48+('Konstanta b'!K48*Peramalan!$Q$1)</f>
        <v>183125.40554839937</v>
      </c>
      <c r="M48" s="6">
        <f>'Konstanta a'!L48+('Konstanta b'!L48*Peramalan!$Q$1)</f>
        <v>184140.55669223104</v>
      </c>
    </row>
    <row r="49" spans="1:13" x14ac:dyDescent="0.3">
      <c r="A49" s="1">
        <f>'Konstanta b'!A49</f>
        <v>0.9</v>
      </c>
      <c r="B49" s="1" t="str">
        <f>'Konstanta b'!B49</f>
        <v>T1</v>
      </c>
      <c r="C49" s="1" t="str">
        <f>'Konstanta b'!C49</f>
        <v>T2</v>
      </c>
      <c r="D49" s="1" t="str">
        <f>'Konstanta b'!D49</f>
        <v>T3</v>
      </c>
      <c r="E49" s="1" t="str">
        <f>'Konstanta b'!E49</f>
        <v>T4</v>
      </c>
      <c r="F49" s="1" t="str">
        <f>'Konstanta b'!F49</f>
        <v>T5</v>
      </c>
      <c r="G49" s="1" t="str">
        <f>'Konstanta b'!G49</f>
        <v>T6</v>
      </c>
      <c r="H49" s="1" t="str">
        <f>'Konstanta b'!H49</f>
        <v>T7</v>
      </c>
      <c r="I49" s="1" t="str">
        <f>'Konstanta b'!I49</f>
        <v>T8</v>
      </c>
      <c r="J49" s="1" t="str">
        <f>'Konstanta b'!J49</f>
        <v>T9</v>
      </c>
      <c r="K49" s="1" t="str">
        <f>'Konstanta b'!K49</f>
        <v>T10</v>
      </c>
      <c r="L49" s="1" t="str">
        <f>'Konstanta b'!L49</f>
        <v>T11</v>
      </c>
      <c r="M49" s="1" t="str">
        <f>'Konstanta b'!M49</f>
        <v>T12</v>
      </c>
    </row>
    <row r="50" spans="1:13" x14ac:dyDescent="0.3">
      <c r="A50" s="1" t="str">
        <f>'Konstanta b'!A50</f>
        <v>Oil A 20 LT</v>
      </c>
      <c r="B50" s="6">
        <f>B44</f>
        <v>0</v>
      </c>
      <c r="C50" s="6">
        <f>'Konstanta a'!B50+('Konstanta b'!B50*Peramalan!$Q$1)</f>
        <v>12588.09</v>
      </c>
      <c r="D50" s="6">
        <f>'Konstanta a'!C50+('Konstanta b'!C50*Peramalan!$Q$1)</f>
        <v>-57596.969999999943</v>
      </c>
      <c r="E50" s="6">
        <f>'Konstanta a'!D50+('Konstanta b'!D50*Peramalan!$Q$1)</f>
        <v>87825.989399999889</v>
      </c>
      <c r="F50" s="6">
        <f>'Konstanta a'!E50+('Konstanta b'!E50*Peramalan!$Q$1)</f>
        <v>5578.2122999999792</v>
      </c>
      <c r="G50" s="6">
        <f>'Konstanta a'!F50+('Konstanta b'!F50*Peramalan!$Q$1)</f>
        <v>-19374.829446000022</v>
      </c>
      <c r="H50" s="6">
        <f>'Konstanta a'!G50+('Konstanta b'!G50*Peramalan!$Q$1)</f>
        <v>-27250.959153000011</v>
      </c>
      <c r="I50" s="6">
        <f>'Konstanta a'!H50+('Konstanta b'!H50*Peramalan!$Q$1)</f>
        <v>65949.817897139947</v>
      </c>
      <c r="J50" s="6">
        <f>'Konstanta a'!I50+('Konstanta b'!I50*Peramalan!$Q$1)</f>
        <v>5059.8102209099761</v>
      </c>
      <c r="K50" s="6">
        <f>'Konstanta a'!J50+('Konstanta b'!J50*Peramalan!$Q$1)</f>
        <v>-1277.8221898326501</v>
      </c>
      <c r="L50" s="6">
        <f>'Konstanta a'!K50+('Konstanta b'!K50*Peramalan!$Q$1)</f>
        <v>-23102.035609714523</v>
      </c>
      <c r="M50" s="6">
        <f>'Konstanta a'!L50+('Konstanta b'!L50*Peramalan!$Q$1)</f>
        <v>65462.028987370322</v>
      </c>
    </row>
    <row r="51" spans="1:13" x14ac:dyDescent="0.3">
      <c r="A51" s="1" t="str">
        <f>'Konstanta b'!A51</f>
        <v>Oil A 200 LT</v>
      </c>
      <c r="B51" s="6">
        <f>B45</f>
        <v>0</v>
      </c>
      <c r="C51" s="6">
        <f>'Konstanta a'!B51+('Konstanta b'!B51*Peramalan!$Q$1)</f>
        <v>459915.78</v>
      </c>
      <c r="D51" s="6">
        <f>'Konstanta a'!C51+('Konstanta b'!C51*Peramalan!$Q$1)</f>
        <v>-104339.39999999979</v>
      </c>
      <c r="E51" s="6">
        <f>'Konstanta a'!D51+('Konstanta b'!D51*Peramalan!$Q$1)</f>
        <v>-181817.97179999994</v>
      </c>
      <c r="F51" s="6">
        <f>'Konstanta a'!E51+('Konstanta b'!E51*Peramalan!$Q$1)</f>
        <v>912590.16239999933</v>
      </c>
      <c r="G51" s="6">
        <f>'Konstanta a'!F51+('Konstanta b'!F51*Peramalan!$Q$1)</f>
        <v>-1768935.5311379984</v>
      </c>
      <c r="H51" s="6">
        <f>'Konstanta a'!G51+('Konstanta b'!G51*Peramalan!$Q$1)</f>
        <v>-238241.50355400046</v>
      </c>
      <c r="I51" s="6">
        <f>'Konstanta a'!H51+('Konstanta b'!H51*Peramalan!$Q$1)</f>
        <v>721869.07624841935</v>
      </c>
      <c r="J51" s="6">
        <f>'Konstanta a'!I51+('Konstanta b'!I51*Peramalan!$Q$1)</f>
        <v>1220463.5127682781</v>
      </c>
      <c r="K51" s="6">
        <f>'Konstanta a'!J51+('Konstanta b'!J51*Peramalan!$Q$1)</f>
        <v>1213346.8333059202</v>
      </c>
      <c r="L51" s="6">
        <f>'Konstanta a'!K51+('Konstanta b'!K51*Peramalan!$Q$1)</f>
        <v>1262669.7751567746</v>
      </c>
      <c r="M51" s="6">
        <f>'Konstanta a'!L51+('Konstanta b'!L51*Peramalan!$Q$1)</f>
        <v>795680.17155924207</v>
      </c>
    </row>
    <row r="52" spans="1:13" x14ac:dyDescent="0.3">
      <c r="A52" s="1" t="str">
        <f>'Konstanta b'!A52</f>
        <v>Oil A 1000 LT</v>
      </c>
      <c r="B52" s="6">
        <f>B46</f>
        <v>0</v>
      </c>
      <c r="C52" s="6">
        <f>'Konstanta a'!B52+('Konstanta b'!B52*Peramalan!$Q$1)</f>
        <v>23458.3</v>
      </c>
      <c r="D52" s="6">
        <f>'Konstanta a'!C52+('Konstanta b'!C52*Peramalan!$Q$1)</f>
        <v>192282.99999999983</v>
      </c>
      <c r="E52" s="6">
        <f>'Konstanta a'!D52+('Konstanta b'!D52*Peramalan!$Q$1)</f>
        <v>72788.947000000029</v>
      </c>
      <c r="F52" s="6">
        <f>'Konstanta a'!E52+('Konstanta b'!E52*Peramalan!$Q$1)</f>
        <v>153696.14799999993</v>
      </c>
      <c r="G52" s="6">
        <f>'Konstanta a'!F52+('Konstanta b'!F52*Peramalan!$Q$1)</f>
        <v>11051.363770000002</v>
      </c>
      <c r="H52" s="6">
        <f>'Konstanta a'!G52+('Konstanta b'!G52*Peramalan!$Q$1)</f>
        <v>299563.95444999973</v>
      </c>
      <c r="I52" s="6">
        <f>'Konstanta a'!H52+('Konstanta b'!H52*Peramalan!$Q$1)</f>
        <v>542397.05271069938</v>
      </c>
      <c r="J52" s="6">
        <f>'Konstanta a'!I52+('Konstanta b'!I52*Peramalan!$Q$1)</f>
        <v>255821.0998101997</v>
      </c>
      <c r="K52" s="6">
        <f>'Konstanta a'!J52+('Konstanta b'!J52*Peramalan!$Q$1)</f>
        <v>-173228.14693376285</v>
      </c>
      <c r="L52" s="6">
        <f>'Konstanta a'!K52+('Konstanta b'!K52*Peramalan!$Q$1)</f>
        <v>-78683.740916680981</v>
      </c>
      <c r="M52" s="6">
        <f>'Konstanta a'!L52+('Konstanta b'!L52*Peramalan!$Q$1)</f>
        <v>-37103.457692642311</v>
      </c>
    </row>
    <row r="53" spans="1:13" x14ac:dyDescent="0.3">
      <c r="A53" s="1" t="str">
        <f>'Konstanta b'!A53</f>
        <v>Oil B 20 LT</v>
      </c>
      <c r="B53" s="6">
        <f>B47</f>
        <v>0</v>
      </c>
      <c r="C53" s="6">
        <f>'Konstanta a'!B53+('Konstanta b'!B53*Peramalan!$Q$1)</f>
        <v>4698.6499999999996</v>
      </c>
      <c r="D53" s="6">
        <f>'Konstanta a'!C53+('Konstanta b'!C53*Peramalan!$Q$1)</f>
        <v>40215.799999999967</v>
      </c>
      <c r="E53" s="6">
        <f>'Konstanta a'!D53+('Konstanta b'!D53*Peramalan!$Q$1)</f>
        <v>34671.021499999973</v>
      </c>
      <c r="F53" s="6">
        <f>'Konstanta a'!E53+('Konstanta b'!E53*Peramalan!$Q$1)</f>
        <v>18757.64</v>
      </c>
      <c r="G53" s="6">
        <f>'Konstanta a'!F53+('Konstanta b'!F53*Peramalan!$Q$1)</f>
        <v>368612.52846499969</v>
      </c>
      <c r="H53" s="6">
        <f>'Konstanta a'!G53+('Konstanta b'!G53*Peramalan!$Q$1)</f>
        <v>22245.90486500004</v>
      </c>
      <c r="I53" s="6">
        <f>'Konstanta a'!H53+('Konstanta b'!H53*Peramalan!$Q$1)</f>
        <v>4857.8591031500036</v>
      </c>
      <c r="J53" s="6">
        <f>'Konstanta a'!I53+('Konstanta b'!I53*Peramalan!$Q$1)</f>
        <v>80728.831565299915</v>
      </c>
      <c r="K53" s="6">
        <f>'Konstanta a'!J53+('Konstanta b'!J53*Peramalan!$Q$1)</f>
        <v>82271.084246016413</v>
      </c>
      <c r="L53" s="6">
        <f>'Konstanta a'!K53+('Konstanta b'!K53*Peramalan!$Q$1)</f>
        <v>237884.06940513925</v>
      </c>
      <c r="M53" s="6">
        <f>'Konstanta a'!L53+('Konstanta b'!L53*Peramalan!$Q$1)</f>
        <v>-23969.480177001955</v>
      </c>
    </row>
    <row r="54" spans="1:13" x14ac:dyDescent="0.3">
      <c r="A54" s="1" t="str">
        <f>'Konstanta b'!A54</f>
        <v>Oil B 200 LT</v>
      </c>
      <c r="B54" s="6">
        <f>B48</f>
        <v>0</v>
      </c>
      <c r="C54" s="6">
        <f>'Konstanta a'!B54+('Konstanta b'!B54*Peramalan!$Q$1)</f>
        <v>1033.08</v>
      </c>
      <c r="D54" s="6">
        <f>'Konstanta a'!C54+('Konstanta b'!C54*Peramalan!$Q$1)</f>
        <v>221036.81999999983</v>
      </c>
      <c r="E54" s="6">
        <f>'Konstanta a'!D54+('Konstanta b'!D54*Peramalan!$Q$1)</f>
        <v>169408.57739999989</v>
      </c>
      <c r="F54" s="6">
        <f>'Konstanta a'!E54+('Konstanta b'!E54*Peramalan!$Q$1)</f>
        <v>145499.91539999991</v>
      </c>
      <c r="G54" s="6">
        <f>'Konstanta a'!F54+('Konstanta b'!F54*Peramalan!$Q$1)</f>
        <v>203911.4744339998</v>
      </c>
      <c r="H54" s="6">
        <f>'Konstanta a'!G54+('Konstanta b'!G54*Peramalan!$Q$1)</f>
        <v>108783.33604799994</v>
      </c>
      <c r="I54" s="6">
        <f>'Konstanta a'!H54+('Konstanta b'!H54*Peramalan!$Q$1)</f>
        <v>415012.99944893958</v>
      </c>
      <c r="J54" s="6">
        <f>'Konstanta a'!I54+('Konstanta b'!I54*Peramalan!$Q$1)</f>
        <v>217559.92080461982</v>
      </c>
      <c r="K54" s="6">
        <f>'Konstanta a'!J54+('Konstanta b'!J54*Peramalan!$Q$1)</f>
        <v>152032.20425421523</v>
      </c>
      <c r="L54" s="6">
        <f>'Konstanta a'!K54+('Konstanta b'!K54*Peramalan!$Q$1)</f>
        <v>338018.00338179927</v>
      </c>
      <c r="M54" s="6">
        <f>'Konstanta a'!L54+('Konstanta b'!L54*Peramalan!$Q$1)</f>
        <v>320576.72839891986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EDEE9-B970-4440-9A4C-A6CE20DCAA2A}">
  <dimension ref="A1:AA42"/>
  <sheetViews>
    <sheetView topLeftCell="A19" zoomScaleNormal="100" workbookViewId="0">
      <selection activeCell="K29" sqref="K29:R29"/>
    </sheetView>
  </sheetViews>
  <sheetFormatPr defaultColWidth="8.88671875" defaultRowHeight="14.4" x14ac:dyDescent="0.3"/>
  <cols>
    <col min="1" max="1" width="10.33203125" style="1" bestFit="1" customWidth="1"/>
    <col min="2" max="2" width="9.44140625" style="1" bestFit="1" customWidth="1"/>
    <col min="3" max="7" width="8.88671875" style="1"/>
    <col min="8" max="8" width="9.44140625" style="1" bestFit="1" customWidth="1"/>
    <col min="9" max="9" width="10.44140625" style="1" bestFit="1" customWidth="1"/>
    <col min="10" max="10" width="9.6640625" style="1" bestFit="1" customWidth="1"/>
    <col min="11" max="14" width="9.44140625" style="1" bestFit="1" customWidth="1"/>
    <col min="15" max="15" width="8.88671875" style="1"/>
    <col min="16" max="16" width="9.44140625" style="1" bestFit="1" customWidth="1"/>
    <col min="17" max="17" width="9.44140625" style="1" customWidth="1"/>
    <col min="1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/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Exponen'!$B$2</f>
        <v>12588.09</v>
      </c>
      <c r="D2" s="7">
        <f>'Double Exponen'!$B$2</f>
        <v>12588.09</v>
      </c>
      <c r="E2" s="7">
        <f>'Konstanta a'!$B$2</f>
        <v>12588.09</v>
      </c>
      <c r="F2" s="7">
        <f>'Konstanta b'!$B$2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Exponen'!$B$3</f>
        <v>459915.78</v>
      </c>
      <c r="M2" s="7">
        <f>'Double Exponen'!$B$3</f>
        <v>459915.78</v>
      </c>
      <c r="N2" s="7">
        <f>'Konstanta a'!$B$3</f>
        <v>459915.78</v>
      </c>
      <c r="O2" s="7">
        <f>'Konstanta b'!$B$3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Exponen'!$B$6</f>
        <v>1033.08</v>
      </c>
      <c r="V2" s="7">
        <f>'Double Exponen'!$B$6</f>
        <v>1033.08</v>
      </c>
      <c r="W2" s="7">
        <f>'Konstanta a'!$B$6</f>
        <v>1033.08</v>
      </c>
      <c r="X2" s="7">
        <f>'Konstanta b'!$B$6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Exponen'!$C$2</f>
        <v>11808.256000000001</v>
      </c>
      <c r="D3" s="7">
        <f>'Double Exponen'!$C$2</f>
        <v>12510.106600000001</v>
      </c>
      <c r="E3" s="7">
        <f>'Konstanta a'!$C$2</f>
        <v>11106.405400000001</v>
      </c>
      <c r="F3" s="7">
        <f>'Konstanta b'!$C$2</f>
        <v>-77.983399999999975</v>
      </c>
      <c r="G3" s="7">
        <f>Peramalan!$C$2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Exponen'!$C$3</f>
        <v>453646.27800000005</v>
      </c>
      <c r="M3" s="7">
        <f>'Double Exponen'!$C$3</f>
        <v>459288.82980000007</v>
      </c>
      <c r="N3" s="7">
        <f>'Konstanta a'!$C$3</f>
        <v>448003.72620000003</v>
      </c>
      <c r="O3" s="7">
        <f>'Konstanta b'!$C$3</f>
        <v>-626.95020000000181</v>
      </c>
      <c r="P3" s="7">
        <f>Peramalan!$C$3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Exponen'!$C$6</f>
        <v>3477.5659999999998</v>
      </c>
      <c r="V3" s="7">
        <f>'Double Exponen'!$C$6</f>
        <v>1277.5285999999999</v>
      </c>
      <c r="W3" s="7">
        <f>'Konstanta a'!$C$6</f>
        <v>5677.6034</v>
      </c>
      <c r="X3" s="7">
        <f>'Konstanta b'!$C$6</f>
        <v>244.44860000000003</v>
      </c>
      <c r="Y3" s="7">
        <f>Peramalan!$C$6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Exponen'!$D$2</f>
        <v>12730.014400000002</v>
      </c>
      <c r="D4" s="7">
        <f>'Double Exponen'!$D$2</f>
        <v>12532.097380000001</v>
      </c>
      <c r="E4" s="7">
        <f>'Konstanta a'!$D$2</f>
        <v>12927.931420000003</v>
      </c>
      <c r="F4" s="7">
        <f>'Konstanta b'!$D$2</f>
        <v>21.990780000000086</v>
      </c>
      <c r="G4" s="7">
        <f>Peramalan!$D$2</f>
        <v>11028.422000000002</v>
      </c>
      <c r="H4" s="7">
        <f t="shared" ref="H4:H13" si="0">((B4-G4)/B4)*100</f>
        <v>47.54824539709233</v>
      </c>
      <c r="I4" s="7">
        <f t="shared" ref="I4:I13" si="1">ABS((B4-G4)/B4)*100</f>
        <v>47.54824539709233</v>
      </c>
      <c r="J4" s="3" t="s">
        <v>4</v>
      </c>
      <c r="K4" s="7">
        <f>kg!$D$4</f>
        <v>389238.98</v>
      </c>
      <c r="L4" s="7">
        <f>'Single Exponen'!$D$3</f>
        <v>447205.54820000002</v>
      </c>
      <c r="M4" s="7">
        <f>'Double Exponen'!$D$3</f>
        <v>458080.50164000009</v>
      </c>
      <c r="N4" s="7">
        <f>'Konstanta a'!$D$3</f>
        <v>436330.59475999995</v>
      </c>
      <c r="O4" s="7">
        <f>'Konstanta b'!$D$3</f>
        <v>-1208.328160000008</v>
      </c>
      <c r="P4" s="7">
        <f>Peramalan!$D$3</f>
        <v>447376.77600000001</v>
      </c>
      <c r="Q4" s="7">
        <f t="shared" ref="Q4:Q13" si="2">((K4-P4)/K4)*100</f>
        <v>-14.936272826529356</v>
      </c>
      <c r="R4" s="7">
        <f t="shared" ref="R4:R13" si="3">ABS((K4-P4)/K4)*100</f>
        <v>14.936272826529356</v>
      </c>
      <c r="S4" s="3" t="s">
        <v>4</v>
      </c>
      <c r="T4" s="7">
        <f>kg!$D$7</f>
        <v>19497.02</v>
      </c>
      <c r="U4" s="7">
        <f>'Single Exponen'!$D$6</f>
        <v>5079.5114000000003</v>
      </c>
      <c r="V4" s="7">
        <f>'Double Exponen'!$D$6</f>
        <v>1657.7268799999999</v>
      </c>
      <c r="W4" s="7">
        <f>'Konstanta a'!$D$6</f>
        <v>8501.2959200000005</v>
      </c>
      <c r="X4" s="7">
        <f>'Konstanta b'!$D$6</f>
        <v>380.19828000000007</v>
      </c>
      <c r="Y4" s="7">
        <f>Peramalan!$D$6</f>
        <v>5922.0519999999997</v>
      </c>
      <c r="Z4" s="7">
        <f t="shared" ref="Z4:Z13" si="4">((T4-Y4)/T4)*100</f>
        <v>69.625860772569354</v>
      </c>
      <c r="AA4" s="7">
        <f t="shared" ref="AA4:AA13" si="5">ABS((T4-Y4)/T4)*100</f>
        <v>69.625860772569354</v>
      </c>
    </row>
    <row r="5" spans="1:27" x14ac:dyDescent="0.3">
      <c r="A5" s="3" t="s">
        <v>5</v>
      </c>
      <c r="B5" s="7">
        <f>kg!$E$3</f>
        <v>11100.97</v>
      </c>
      <c r="C5" s="7">
        <f>'Single Exponen'!$E$2</f>
        <v>12567.109960000002</v>
      </c>
      <c r="D5" s="7">
        <f>'Double Exponen'!$E$2</f>
        <v>12535.598638000001</v>
      </c>
      <c r="E5" s="7">
        <f>'Konstanta a'!$E$2</f>
        <v>12598.621282000002</v>
      </c>
      <c r="F5" s="7">
        <f>'Konstanta b'!$E$2</f>
        <v>3.5012580000000324</v>
      </c>
      <c r="G5" s="7">
        <f>Peramalan!$E$2</f>
        <v>12949.922200000003</v>
      </c>
      <c r="H5" s="7">
        <f t="shared" si="0"/>
        <v>-16.655771522668772</v>
      </c>
      <c r="I5" s="7">
        <f t="shared" si="1"/>
        <v>16.655771522668772</v>
      </c>
      <c r="J5" s="3" t="s">
        <v>5</v>
      </c>
      <c r="K5" s="7">
        <f>kg!$E$4</f>
        <v>505904.1</v>
      </c>
      <c r="L5" s="7">
        <f>'Single Exponen'!$E$3</f>
        <v>453075.40338000003</v>
      </c>
      <c r="M5" s="7">
        <f>'Double Exponen'!$E$3</f>
        <v>457579.99181400007</v>
      </c>
      <c r="N5" s="7">
        <f>'Konstanta a'!$E$3</f>
        <v>448570.814946</v>
      </c>
      <c r="O5" s="7">
        <f>'Konstanta b'!$E$3</f>
        <v>-500.50982600000378</v>
      </c>
      <c r="P5" s="7">
        <f>Peramalan!$E$3</f>
        <v>435122.26659999992</v>
      </c>
      <c r="Q5" s="7">
        <f t="shared" si="2"/>
        <v>13.991156308082909</v>
      </c>
      <c r="R5" s="7">
        <f t="shared" si="3"/>
        <v>13.991156308082909</v>
      </c>
      <c r="S5" s="3" t="s">
        <v>5</v>
      </c>
      <c r="T5" s="7">
        <f>kg!$E$7</f>
        <v>18855.900000000001</v>
      </c>
      <c r="U5" s="7">
        <f>'Single Exponen'!$E$6</f>
        <v>6457.1502600000003</v>
      </c>
      <c r="V5" s="7">
        <f>'Double Exponen'!$E$6</f>
        <v>2137.669218</v>
      </c>
      <c r="W5" s="7">
        <f>'Konstanta a'!$E$6</f>
        <v>10776.631302000002</v>
      </c>
      <c r="X5" s="7">
        <f>'Konstanta b'!$E$6</f>
        <v>479.94233800000006</v>
      </c>
      <c r="Y5" s="7">
        <f>Peramalan!$E$6</f>
        <v>8881.494200000001</v>
      </c>
      <c r="Z5" s="7">
        <f t="shared" si="4"/>
        <v>52.898062675342992</v>
      </c>
      <c r="AA5" s="7">
        <f t="shared" si="5"/>
        <v>52.898062675342992</v>
      </c>
    </row>
    <row r="6" spans="1:27" x14ac:dyDescent="0.3">
      <c r="A6" s="3" t="s">
        <v>6</v>
      </c>
      <c r="B6" s="7">
        <f>kg!$F$3</f>
        <v>9095.66</v>
      </c>
      <c r="C6" s="7">
        <f>'Single Exponen'!$F$2</f>
        <v>12219.964964000003</v>
      </c>
      <c r="D6" s="7">
        <f>'Double Exponen'!$F$2</f>
        <v>12504.035270600003</v>
      </c>
      <c r="E6" s="7">
        <f>'Konstanta a'!$F$2</f>
        <v>11935.894657400002</v>
      </c>
      <c r="F6" s="7">
        <f>'Konstanta b'!$F$2</f>
        <v>-31.563367400000065</v>
      </c>
      <c r="G6" s="7">
        <f>Peramalan!$F$2</f>
        <v>12602.122540000002</v>
      </c>
      <c r="H6" s="7">
        <f t="shared" si="0"/>
        <v>-38.550941218119441</v>
      </c>
      <c r="I6" s="7">
        <f t="shared" si="1"/>
        <v>38.550941218119441</v>
      </c>
      <c r="J6" s="3" t="s">
        <v>6</v>
      </c>
      <c r="K6" s="7">
        <f>kg!$F$4</f>
        <v>201079.58</v>
      </c>
      <c r="L6" s="7">
        <f>'Single Exponen'!$F$3</f>
        <v>427875.82104200003</v>
      </c>
      <c r="M6" s="7">
        <f>'Double Exponen'!$F$3</f>
        <v>454609.57473680004</v>
      </c>
      <c r="N6" s="7">
        <f>'Konstanta a'!$F$3</f>
        <v>401142.06734720001</v>
      </c>
      <c r="O6" s="7">
        <f>'Konstanta b'!$F$3</f>
        <v>-2970.4170772000025</v>
      </c>
      <c r="P6" s="7">
        <f>Peramalan!$F$3</f>
        <v>448070.30511999998</v>
      </c>
      <c r="Q6" s="7">
        <f t="shared" si="2"/>
        <v>-122.83232594776656</v>
      </c>
      <c r="R6" s="7">
        <f t="shared" si="3"/>
        <v>122.83232594776656</v>
      </c>
      <c r="S6" s="3" t="s">
        <v>6</v>
      </c>
      <c r="T6" s="7">
        <f>kg!$F$7</f>
        <v>26851.599999999999</v>
      </c>
      <c r="U6" s="7">
        <f>'Single Exponen'!$F$6</f>
        <v>8496.5952340000003</v>
      </c>
      <c r="V6" s="7">
        <f>'Double Exponen'!$F$6</f>
        <v>2773.5618196000005</v>
      </c>
      <c r="W6" s="7">
        <f>'Konstanta a'!$F$6</f>
        <v>14219.628648400001</v>
      </c>
      <c r="X6" s="7">
        <f>'Konstanta b'!$F$6</f>
        <v>635.89260160000003</v>
      </c>
      <c r="Y6" s="7">
        <f>Peramalan!$F$6</f>
        <v>11256.573640000002</v>
      </c>
      <c r="Z6" s="7">
        <f t="shared" si="4"/>
        <v>58.078573939727974</v>
      </c>
      <c r="AA6" s="7">
        <f t="shared" si="5"/>
        <v>58.078573939727974</v>
      </c>
    </row>
    <row r="7" spans="1:27" x14ac:dyDescent="0.3">
      <c r="A7" s="3" t="s">
        <v>7</v>
      </c>
      <c r="B7" s="7">
        <f>kg!$G$3</f>
        <v>8185.36</v>
      </c>
      <c r="C7" s="7">
        <f>'Single Exponen'!$G$2</f>
        <v>11816.504467600003</v>
      </c>
      <c r="D7" s="7">
        <f>'Double Exponen'!$G$2</f>
        <v>12435.282190300004</v>
      </c>
      <c r="E7" s="7">
        <f>'Konstanta a'!$G$2</f>
        <v>11197.726744900003</v>
      </c>
      <c r="F7" s="7">
        <f>'Konstanta b'!$G$2</f>
        <v>-68.753080300000065</v>
      </c>
      <c r="G7" s="7">
        <f>Peramalan!$G$2</f>
        <v>11904.331290000002</v>
      </c>
      <c r="H7" s="7">
        <f t="shared" si="0"/>
        <v>-45.434425486478325</v>
      </c>
      <c r="I7" s="7">
        <f t="shared" si="1"/>
        <v>45.434425486478325</v>
      </c>
      <c r="J7" s="3" t="s">
        <v>7</v>
      </c>
      <c r="K7" s="7">
        <f>kg!$G$4</f>
        <v>378271.8</v>
      </c>
      <c r="L7" s="7">
        <f>'Single Exponen'!$G$3</f>
        <v>422915.41893780004</v>
      </c>
      <c r="M7" s="7">
        <f>'Double Exponen'!$G$3</f>
        <v>451440.15915690007</v>
      </c>
      <c r="N7" s="7">
        <f>'Konstanta a'!$G$3</f>
        <v>394390.67871870002</v>
      </c>
      <c r="O7" s="7">
        <f>'Konstanta b'!$G$3</f>
        <v>-3169.4155799000036</v>
      </c>
      <c r="P7" s="7">
        <f>Peramalan!$G$3</f>
        <v>398171.65026999998</v>
      </c>
      <c r="Q7" s="7">
        <f t="shared" si="2"/>
        <v>-5.2607279395397697</v>
      </c>
      <c r="R7" s="7">
        <f t="shared" si="3"/>
        <v>5.2607279395397697</v>
      </c>
      <c r="S7" s="3" t="s">
        <v>7</v>
      </c>
      <c r="T7" s="7">
        <f>kg!$G$7</f>
        <v>17468.29</v>
      </c>
      <c r="U7" s="7">
        <f>'Single Exponen'!$G$6</f>
        <v>9393.7647106000004</v>
      </c>
      <c r="V7" s="7">
        <f>'Double Exponen'!$G$6</f>
        <v>3435.5821087000004</v>
      </c>
      <c r="W7" s="7">
        <f>'Konstanta a'!$G$6</f>
        <v>15351.9473125</v>
      </c>
      <c r="X7" s="7">
        <f>'Konstanta b'!$G$6</f>
        <v>662.02028910000001</v>
      </c>
      <c r="Y7" s="7">
        <f>Peramalan!$G$6</f>
        <v>14855.521250000002</v>
      </c>
      <c r="Z7" s="7">
        <f t="shared" si="4"/>
        <v>14.957209606664415</v>
      </c>
      <c r="AA7" s="7">
        <f t="shared" si="5"/>
        <v>14.957209606664415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Exponen'!$H$2</f>
        <v>12461.394020840004</v>
      </c>
      <c r="D8" s="7">
        <f>'Double Exponen'!$H$2</f>
        <v>12437.893373354003</v>
      </c>
      <c r="E8" s="7">
        <f>'Konstanta a'!$H$2</f>
        <v>12484.894668326004</v>
      </c>
      <c r="F8" s="7">
        <f>'Konstanta b'!$H$2</f>
        <v>2.6111830540000183</v>
      </c>
      <c r="G8" s="7">
        <f>Peramalan!$H$2</f>
        <v>11128.973664600002</v>
      </c>
      <c r="H8" s="7">
        <f t="shared" si="0"/>
        <v>39.070736668236108</v>
      </c>
      <c r="I8" s="7">
        <f t="shared" si="1"/>
        <v>39.070736668236108</v>
      </c>
      <c r="J8" s="3" t="s">
        <v>8</v>
      </c>
      <c r="K8" s="7">
        <f>kg!$H$4</f>
        <v>463478.68</v>
      </c>
      <c r="L8" s="7">
        <f>'Single Exponen'!$H$3</f>
        <v>426971.74504402006</v>
      </c>
      <c r="M8" s="7">
        <f>'Double Exponen'!$H$3</f>
        <v>448993.31774561212</v>
      </c>
      <c r="N8" s="7">
        <f>'Konstanta a'!$H$3</f>
        <v>404950.17234242801</v>
      </c>
      <c r="O8" s="7">
        <f>'Konstanta b'!$H$3</f>
        <v>-2446.8414112880064</v>
      </c>
      <c r="P8" s="7">
        <f>Peramalan!$H$3</f>
        <v>391221.26313879999</v>
      </c>
      <c r="Q8" s="7">
        <f t="shared" si="2"/>
        <v>15.590235318094891</v>
      </c>
      <c r="R8" s="7">
        <f t="shared" si="3"/>
        <v>15.590235318094891</v>
      </c>
      <c r="S8" s="3" t="s">
        <v>8</v>
      </c>
      <c r="T8" s="7">
        <f>kg!$H$7</f>
        <v>53358.239999999998</v>
      </c>
      <c r="U8" s="7">
        <f>'Single Exponen'!$H$6</f>
        <v>13790.212239540002</v>
      </c>
      <c r="V8" s="7">
        <f>'Double Exponen'!$H$6</f>
        <v>4471.0451217840009</v>
      </c>
      <c r="W8" s="7">
        <f>'Konstanta a'!$H$6</f>
        <v>23109.379357296002</v>
      </c>
      <c r="X8" s="7">
        <f>'Konstanta b'!$H$6</f>
        <v>1035.4630130840003</v>
      </c>
      <c r="Y8" s="7">
        <f>Peramalan!$H$6</f>
        <v>16013.967601600001</v>
      </c>
      <c r="Z8" s="7">
        <f t="shared" si="4"/>
        <v>69.987826432056224</v>
      </c>
      <c r="AA8" s="7">
        <f t="shared" si="5"/>
        <v>69.987826432056224</v>
      </c>
    </row>
    <row r="9" spans="1:27" x14ac:dyDescent="0.3">
      <c r="A9" s="3" t="s">
        <v>9</v>
      </c>
      <c r="B9" s="7">
        <f>kg!$I$3</f>
        <v>11044.68</v>
      </c>
      <c r="C9" s="7">
        <f>'Single Exponen'!$I$2</f>
        <v>12319.722618756005</v>
      </c>
      <c r="D9" s="7">
        <f>'Double Exponen'!$I$2</f>
        <v>12426.076297894204</v>
      </c>
      <c r="E9" s="7">
        <f>'Konstanta a'!$I$2</f>
        <v>12213.368939617805</v>
      </c>
      <c r="F9" s="7">
        <f>'Konstanta b'!$I$2</f>
        <v>-11.817075459799931</v>
      </c>
      <c r="G9" s="7">
        <f>Peramalan!$I$2</f>
        <v>12487.505851380003</v>
      </c>
      <c r="H9" s="7">
        <f t="shared" si="0"/>
        <v>-13.063536937059316</v>
      </c>
      <c r="I9" s="7">
        <f t="shared" si="1"/>
        <v>13.063536937059316</v>
      </c>
      <c r="J9" s="3" t="s">
        <v>9</v>
      </c>
      <c r="K9" s="7">
        <f>kg!$I$4</f>
        <v>511860.86</v>
      </c>
      <c r="L9" s="7">
        <f>'Single Exponen'!$I$3</f>
        <v>435460.6565396181</v>
      </c>
      <c r="M9" s="7">
        <f>'Double Exponen'!$I$3</f>
        <v>447640.05162501271</v>
      </c>
      <c r="N9" s="7">
        <f>'Konstanta a'!$I$3</f>
        <v>423281.26145422348</v>
      </c>
      <c r="O9" s="7">
        <f>'Konstanta b'!$I$3</f>
        <v>-1353.2661205994018</v>
      </c>
      <c r="P9" s="7">
        <f>Peramalan!$I$3</f>
        <v>402503.33093113999</v>
      </c>
      <c r="Q9" s="7">
        <f t="shared" si="2"/>
        <v>21.364698419969049</v>
      </c>
      <c r="R9" s="7">
        <f t="shared" si="3"/>
        <v>21.364698419969049</v>
      </c>
      <c r="S9" s="3" t="s">
        <v>9</v>
      </c>
      <c r="T9" s="7">
        <f>kg!$I$7</f>
        <v>31973.26</v>
      </c>
      <c r="U9" s="7">
        <f>'Single Exponen'!$I$6</f>
        <v>15608.517015586003</v>
      </c>
      <c r="V9" s="7">
        <f>'Double Exponen'!$I$6</f>
        <v>5584.7923111642012</v>
      </c>
      <c r="W9" s="7">
        <f>'Konstanta a'!$I$6</f>
        <v>25632.241720007805</v>
      </c>
      <c r="X9" s="7">
        <f>'Konstanta b'!$I$6</f>
        <v>1113.7471893802003</v>
      </c>
      <c r="Y9" s="7">
        <f>Peramalan!$I$6</f>
        <v>24144.842370380004</v>
      </c>
      <c r="Z9" s="7">
        <f t="shared" si="4"/>
        <v>24.484264756299467</v>
      </c>
      <c r="AA9" s="7">
        <f t="shared" si="5"/>
        <v>24.484264756299467</v>
      </c>
    </row>
    <row r="10" spans="1:27" x14ac:dyDescent="0.3">
      <c r="A10" s="3" t="s">
        <v>10</v>
      </c>
      <c r="B10" s="7">
        <f>kg!$J$3</f>
        <v>10889.55</v>
      </c>
      <c r="C10" s="7">
        <f>'Single Exponen'!$J$2</f>
        <v>12176.705356880404</v>
      </c>
      <c r="D10" s="7">
        <f>'Double Exponen'!$J$2</f>
        <v>12401.139203792825</v>
      </c>
      <c r="E10" s="7">
        <f>'Konstanta a'!$J$2</f>
        <v>11952.271509967983</v>
      </c>
      <c r="F10" s="7">
        <f>'Konstanta b'!$J$2</f>
        <v>-24.937094101380154</v>
      </c>
      <c r="G10" s="7">
        <f>Peramalan!$J$2</f>
        <v>12201.551864158006</v>
      </c>
      <c r="H10" s="7">
        <f t="shared" si="0"/>
        <v>-12.048265209838851</v>
      </c>
      <c r="I10" s="7">
        <f t="shared" si="1"/>
        <v>12.048265209838851</v>
      </c>
      <c r="J10" s="3" t="s">
        <v>10</v>
      </c>
      <c r="K10" s="7">
        <f>kg!$J$4</f>
        <v>513170.2</v>
      </c>
      <c r="L10" s="7">
        <f>'Single Exponen'!$J$3</f>
        <v>443231.61088565632</v>
      </c>
      <c r="M10" s="7">
        <f>'Double Exponen'!$J$3</f>
        <v>447199.20755107712</v>
      </c>
      <c r="N10" s="7">
        <f>'Konstanta a'!$J$3</f>
        <v>439264.01422023552</v>
      </c>
      <c r="O10" s="7">
        <f>'Konstanta b'!$J$3</f>
        <v>-440.84407393564476</v>
      </c>
      <c r="P10" s="7">
        <f>Peramalan!$J$3</f>
        <v>421927.99533362407</v>
      </c>
      <c r="Q10" s="7">
        <f t="shared" si="2"/>
        <v>17.780105833576449</v>
      </c>
      <c r="R10" s="7">
        <f t="shared" si="3"/>
        <v>17.780105833576449</v>
      </c>
      <c r="S10" s="3" t="s">
        <v>10</v>
      </c>
      <c r="T10" s="7">
        <f>kg!$J$7</f>
        <v>28522.799999999999</v>
      </c>
      <c r="U10" s="7">
        <f>'Single Exponen'!$J$6</f>
        <v>16899.945314027402</v>
      </c>
      <c r="V10" s="7">
        <f>'Double Exponen'!$J$6</f>
        <v>6716.3076114505211</v>
      </c>
      <c r="W10" s="7">
        <f>'Konstanta a'!$J$6</f>
        <v>27083.583016604283</v>
      </c>
      <c r="X10" s="7">
        <f>'Konstanta b'!$J$6</f>
        <v>1131.5153002863203</v>
      </c>
      <c r="Y10" s="7">
        <f>Peramalan!$J$6</f>
        <v>26745.988909388005</v>
      </c>
      <c r="Z10" s="7">
        <f t="shared" si="4"/>
        <v>6.2294413262793089</v>
      </c>
      <c r="AA10" s="7">
        <f t="shared" si="5"/>
        <v>6.2294413262793089</v>
      </c>
    </row>
    <row r="11" spans="1:27" x14ac:dyDescent="0.3">
      <c r="A11" s="3" t="s">
        <v>11</v>
      </c>
      <c r="B11" s="7">
        <f>kg!$K$3</f>
        <v>8406.34</v>
      </c>
      <c r="C11" s="7">
        <f>'Single Exponen'!$K$2</f>
        <v>11799.668821192365</v>
      </c>
      <c r="D11" s="7">
        <f>'Double Exponen'!$K$2</f>
        <v>12340.99216553278</v>
      </c>
      <c r="E11" s="7">
        <f>'Konstanta a'!$K$2</f>
        <v>11258.34547685195</v>
      </c>
      <c r="F11" s="7">
        <f>'Konstanta b'!$K$2</f>
        <v>-60.147038260046131</v>
      </c>
      <c r="G11" s="7">
        <f>Peramalan!$K$2</f>
        <v>11927.334415866602</v>
      </c>
      <c r="H11" s="7">
        <f t="shared" si="0"/>
        <v>-41.88498699632185</v>
      </c>
      <c r="I11" s="7">
        <f t="shared" si="1"/>
        <v>41.88498699632185</v>
      </c>
      <c r="J11" s="3" t="s">
        <v>11</v>
      </c>
      <c r="K11" s="7">
        <f>kg!$K$4</f>
        <v>525723.46</v>
      </c>
      <c r="L11" s="7">
        <f>'Single Exponen'!$K$3</f>
        <v>451480.79579709074</v>
      </c>
      <c r="M11" s="7">
        <f>'Double Exponen'!$K$3</f>
        <v>447627.36637567851</v>
      </c>
      <c r="N11" s="7">
        <f>'Konstanta a'!$K$3</f>
        <v>455334.22521850298</v>
      </c>
      <c r="O11" s="7">
        <f>'Konstanta b'!$K$3</f>
        <v>428.15882460135941</v>
      </c>
      <c r="P11" s="7">
        <f>Peramalan!$K$3</f>
        <v>438823.17014629988</v>
      </c>
      <c r="Q11" s="7">
        <f t="shared" si="2"/>
        <v>16.529657979063764</v>
      </c>
      <c r="R11" s="7">
        <f t="shared" si="3"/>
        <v>16.529657979063764</v>
      </c>
      <c r="S11" s="3" t="s">
        <v>11</v>
      </c>
      <c r="T11" s="7">
        <f>kg!$K$7</f>
        <v>51078.26</v>
      </c>
      <c r="U11" s="7">
        <f>'Single Exponen'!$K$6</f>
        <v>20317.776782624664</v>
      </c>
      <c r="V11" s="7">
        <f>'Double Exponen'!$K$6</f>
        <v>8076.454528567936</v>
      </c>
      <c r="W11" s="7">
        <f>'Konstanta a'!$K$6</f>
        <v>32559.099036681393</v>
      </c>
      <c r="X11" s="7">
        <f>'Konstanta b'!$K$6</f>
        <v>1360.1469171174142</v>
      </c>
      <c r="Y11" s="7">
        <f>Peramalan!$K$6</f>
        <v>28215.098316890602</v>
      </c>
      <c r="Z11" s="7">
        <f t="shared" si="4"/>
        <v>44.761042531811768</v>
      </c>
      <c r="AA11" s="7">
        <f t="shared" si="5"/>
        <v>44.761042531811768</v>
      </c>
    </row>
    <row r="12" spans="1:27" x14ac:dyDescent="0.3">
      <c r="A12" s="3" t="s">
        <v>12</v>
      </c>
      <c r="B12" s="7">
        <f>kg!$L$3</f>
        <v>18149.95</v>
      </c>
      <c r="C12" s="7">
        <f>'Single Exponen'!$L$2</f>
        <v>12434.69693907313</v>
      </c>
      <c r="D12" s="7">
        <f>'Double Exponen'!$L$2</f>
        <v>12350.362642886816</v>
      </c>
      <c r="E12" s="7">
        <f>'Konstanta a'!$L$2</f>
        <v>12519.031235259445</v>
      </c>
      <c r="F12" s="7">
        <f>'Konstanta b'!$L$2</f>
        <v>9.3704773540349482</v>
      </c>
      <c r="G12" s="7">
        <f>Peramalan!$L$2</f>
        <v>11198.198438591904</v>
      </c>
      <c r="H12" s="7">
        <f t="shared" si="0"/>
        <v>38.301767009871078</v>
      </c>
      <c r="I12" s="7">
        <f t="shared" si="1"/>
        <v>38.301767009871078</v>
      </c>
      <c r="J12" s="3" t="s">
        <v>12</v>
      </c>
      <c r="K12" s="7">
        <f>kg!$L$4</f>
        <v>480711.96</v>
      </c>
      <c r="L12" s="7">
        <f>'Single Exponen'!$L$3</f>
        <v>454403.9122173817</v>
      </c>
      <c r="M12" s="7">
        <f>'Double Exponen'!$L$3</f>
        <v>448305.02095984883</v>
      </c>
      <c r="N12" s="7">
        <f>'Konstanta a'!$L$3</f>
        <v>460502.80347491457</v>
      </c>
      <c r="O12" s="7">
        <f>'Konstanta b'!$L$3</f>
        <v>677.65458417031914</v>
      </c>
      <c r="P12" s="7">
        <f>Peramalan!$L$3</f>
        <v>455762.38404310436</v>
      </c>
      <c r="Q12" s="7">
        <f t="shared" si="2"/>
        <v>5.1901300639359285</v>
      </c>
      <c r="R12" s="7">
        <f t="shared" si="3"/>
        <v>5.1901300639359285</v>
      </c>
      <c r="S12" s="3" t="s">
        <v>12</v>
      </c>
      <c r="T12" s="7">
        <f>kg!$L$7</f>
        <v>50149.88</v>
      </c>
      <c r="U12" s="7">
        <f>'Single Exponen'!$L$6</f>
        <v>23300.987104362201</v>
      </c>
      <c r="V12" s="7">
        <f>'Double Exponen'!$L$6</f>
        <v>9598.9077861473634</v>
      </c>
      <c r="W12" s="7">
        <f>'Konstanta a'!$L$6</f>
        <v>37003.066422577038</v>
      </c>
      <c r="X12" s="7">
        <f>'Konstanta b'!$L$6</f>
        <v>1522.4532575794265</v>
      </c>
      <c r="Y12" s="7">
        <f>Peramalan!$L$6</f>
        <v>33919.245953798811</v>
      </c>
      <c r="Z12" s="7">
        <f t="shared" si="4"/>
        <v>32.364253007586832</v>
      </c>
      <c r="AA12" s="7">
        <f t="shared" si="5"/>
        <v>32.364253007586832</v>
      </c>
    </row>
    <row r="13" spans="1:27" x14ac:dyDescent="0.3">
      <c r="A13" s="3" t="s">
        <v>13</v>
      </c>
      <c r="B13" s="7">
        <f>kg!$M$3</f>
        <v>11905.39</v>
      </c>
      <c r="C13" s="7">
        <f>'Single Exponen'!$M$2</f>
        <v>12381.766245165818</v>
      </c>
      <c r="D13" s="7">
        <f>'Double Exponen'!$M$2</f>
        <v>12353.503003114716</v>
      </c>
      <c r="E13" s="7">
        <f>'Konstanta a'!$M$2</f>
        <v>12410.02948721692</v>
      </c>
      <c r="F13" s="7">
        <f>'Konstanta b'!$M$2</f>
        <v>3.1403602279001968</v>
      </c>
      <c r="G13" s="7">
        <f>Peramalan!$M$2</f>
        <v>12528.40171261348</v>
      </c>
      <c r="H13" s="7">
        <f t="shared" si="0"/>
        <v>-5.2330222916971305</v>
      </c>
      <c r="I13" s="7">
        <f t="shared" si="1"/>
        <v>5.2330222916971305</v>
      </c>
      <c r="J13" s="3" t="s">
        <v>13</v>
      </c>
      <c r="K13" s="7">
        <f>kg!$M$4</f>
        <v>428532.64</v>
      </c>
      <c r="L13" s="7">
        <f>'Single Exponen'!$M$3</f>
        <v>451816.78499564354</v>
      </c>
      <c r="M13" s="7">
        <f>'Double Exponen'!$M$3</f>
        <v>448656.19736342831</v>
      </c>
      <c r="N13" s="7">
        <f>'Konstanta a'!$M$3</f>
        <v>454977.37262785877</v>
      </c>
      <c r="O13" s="7">
        <f>'Konstanta b'!$M$3</f>
        <v>351.17640357947033</v>
      </c>
      <c r="P13" s="7">
        <f>Peramalan!$M$3</f>
        <v>461180.45805908489</v>
      </c>
      <c r="Q13" s="7">
        <f t="shared" si="2"/>
        <v>-7.6185137400700391</v>
      </c>
      <c r="R13" s="7">
        <f t="shared" si="3"/>
        <v>7.6185137400700391</v>
      </c>
      <c r="S13" s="3" t="s">
        <v>13</v>
      </c>
      <c r="T13" s="7">
        <f>kg!$M$7</f>
        <v>42897.42</v>
      </c>
      <c r="U13" s="7">
        <f>'Single Exponen'!$M$6</f>
        <v>25260.630393925981</v>
      </c>
      <c r="V13" s="7">
        <f>'Double Exponen'!$M$6</f>
        <v>11165.080046925226</v>
      </c>
      <c r="W13" s="7">
        <f>'Konstanta a'!$M$6</f>
        <v>39356.180740926735</v>
      </c>
      <c r="X13" s="7">
        <f>'Konstanta b'!$M$6</f>
        <v>1566.1722607778618</v>
      </c>
      <c r="Y13" s="7">
        <f>Peramalan!$M$6</f>
        <v>38525.519680156467</v>
      </c>
      <c r="Z13" s="7">
        <f t="shared" si="4"/>
        <v>10.191522753218099</v>
      </c>
      <c r="AA13" s="7">
        <f t="shared" si="5"/>
        <v>10.191522753218099</v>
      </c>
    </row>
    <row r="14" spans="1:27" x14ac:dyDescent="0.3">
      <c r="H14" s="6">
        <f>(SUM(H3:H13)/12)</f>
        <v>-17.563607586713076</v>
      </c>
      <c r="I14" s="6">
        <f>(SUM(I3:I13)/12)</f>
        <v>38.383732432579663</v>
      </c>
      <c r="Q14" s="6">
        <f>(SUM(Q3:Q13)/12)</f>
        <v>-6.3321063591790825</v>
      </c>
      <c r="R14" s="6">
        <f>(SUM(R3:R13)/12)</f>
        <v>21.406437012966247</v>
      </c>
      <c r="Z14" s="6">
        <f>(SUM(Z3:Z13)/12)</f>
        <v>39.960271323560001</v>
      </c>
      <c r="AA14" s="6">
        <f>(SUM(AA3:AA13)/12)</f>
        <v>39.960271323560001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Exponen'!$B$4</f>
        <v>23458.3</v>
      </c>
      <c r="M16" s="7">
        <f>'Double Exponen'!$B$4</f>
        <v>23458.3</v>
      </c>
      <c r="N16" s="7">
        <f>'Konstanta a'!$B$4</f>
        <v>23458.3</v>
      </c>
      <c r="O16" s="7">
        <f>'Konstanta b'!$B$4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Exponen'!$C$4</f>
        <v>25334.13</v>
      </c>
      <c r="M17" s="7">
        <f>'Double Exponen'!$C$4</f>
        <v>23645.883000000002</v>
      </c>
      <c r="N17" s="7">
        <f>'Konstanta a'!$C$4</f>
        <v>27022.377</v>
      </c>
      <c r="O17" s="7">
        <f>'Konstanta b'!$C$4</f>
        <v>187.58299999999994</v>
      </c>
      <c r="P17" s="7">
        <f>Peramalan!$C$4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Exponen'!$D$4</f>
        <v>25675.906999999999</v>
      </c>
      <c r="M18" s="7">
        <f>'Double Exponen'!$D$4</f>
        <v>23848.885400000003</v>
      </c>
      <c r="N18" s="7">
        <f>'Konstanta a'!$D$4</f>
        <v>27502.928599999996</v>
      </c>
      <c r="O18" s="7">
        <f>'Konstanta b'!$D$4</f>
        <v>203.00239999999962</v>
      </c>
      <c r="P18" s="7">
        <f>Peramalan!$D$4</f>
        <v>27209.96</v>
      </c>
      <c r="Q18" s="7">
        <f t="shared" ref="Q18:Q27" si="6">((K18-P18)/K18)*100</f>
        <v>5.3629151464772837</v>
      </c>
      <c r="R18" s="7">
        <f t="shared" ref="R18:R27" si="7">ABS((K18-P18)/K18)*100</f>
        <v>5.3629151464772837</v>
      </c>
    </row>
    <row r="19" spans="10:18" x14ac:dyDescent="0.3">
      <c r="J19" s="3" t="s">
        <v>5</v>
      </c>
      <c r="K19" s="7">
        <f>kg!$E$5</f>
        <v>39376.9</v>
      </c>
      <c r="L19" s="7">
        <f>'Single Exponen'!$E$4</f>
        <v>27046.006300000001</v>
      </c>
      <c r="M19" s="7">
        <f>'Double Exponen'!$E$4</f>
        <v>24168.597490000004</v>
      </c>
      <c r="N19" s="7">
        <f>'Konstanta a'!$E$4</f>
        <v>29923.415109999998</v>
      </c>
      <c r="O19" s="7">
        <f>'Konstanta b'!$E$4</f>
        <v>319.71208999999971</v>
      </c>
      <c r="P19" s="7">
        <f>Peramalan!$E$4</f>
        <v>27705.930999999997</v>
      </c>
      <c r="Q19" s="7">
        <f t="shared" si="6"/>
        <v>29.639125985031846</v>
      </c>
      <c r="R19" s="7">
        <f t="shared" si="7"/>
        <v>29.639125985031846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Exponen'!$F$4</f>
        <v>26727.56567</v>
      </c>
      <c r="M20" s="7">
        <f>'Double Exponen'!$F$4</f>
        <v>24424.494308000005</v>
      </c>
      <c r="N20" s="7">
        <f>'Konstanta a'!$F$4</f>
        <v>29030.637031999995</v>
      </c>
      <c r="O20" s="7">
        <f>'Konstanta b'!$F$4</f>
        <v>255.89681799999948</v>
      </c>
      <c r="P20" s="7">
        <f>Peramalan!$F$4</f>
        <v>30243.127199999999</v>
      </c>
      <c r="Q20" s="7">
        <f t="shared" si="6"/>
        <v>-26.743919938310928</v>
      </c>
      <c r="R20" s="7">
        <f t="shared" si="7"/>
        <v>26.743919938310928</v>
      </c>
    </row>
    <row r="21" spans="10:18" x14ac:dyDescent="0.3">
      <c r="J21" s="3" t="s">
        <v>7</v>
      </c>
      <c r="K21" s="7">
        <f>kg!$G$5</f>
        <v>57216.9</v>
      </c>
      <c r="L21" s="7">
        <f>'Single Exponen'!$G$4</f>
        <v>29776.499103000002</v>
      </c>
      <c r="M21" s="7">
        <f>'Double Exponen'!$G$4</f>
        <v>24959.694787500004</v>
      </c>
      <c r="N21" s="7">
        <f>'Konstanta a'!$G$4</f>
        <v>34593.3034185</v>
      </c>
      <c r="O21" s="7">
        <f>'Konstanta b'!$G$4</f>
        <v>535.2004794999998</v>
      </c>
      <c r="P21" s="7">
        <f>Peramalan!$G$4</f>
        <v>29286.533849999996</v>
      </c>
      <c r="Q21" s="7">
        <f t="shared" si="6"/>
        <v>48.814888870246385</v>
      </c>
      <c r="R21" s="7">
        <f t="shared" si="7"/>
        <v>48.814888870246385</v>
      </c>
    </row>
    <row r="22" spans="10:18" x14ac:dyDescent="0.3">
      <c r="J22" s="3" t="s">
        <v>8</v>
      </c>
      <c r="K22" s="7">
        <f>kg!$H$5</f>
        <v>83736.7</v>
      </c>
      <c r="L22" s="7">
        <f>'Single Exponen'!$H$4</f>
        <v>35172.519192700005</v>
      </c>
      <c r="M22" s="7">
        <f>'Double Exponen'!$H$4</f>
        <v>25980.977228020005</v>
      </c>
      <c r="N22" s="7">
        <f>'Konstanta a'!$H$4</f>
        <v>44364.061157380005</v>
      </c>
      <c r="O22" s="7">
        <f>'Konstanta b'!$H$4</f>
        <v>1021.2824405200001</v>
      </c>
      <c r="P22" s="7">
        <f>Peramalan!$H$4</f>
        <v>35128.503898000003</v>
      </c>
      <c r="Q22" s="7">
        <f t="shared" si="6"/>
        <v>58.04885564155262</v>
      </c>
      <c r="R22" s="7">
        <f t="shared" si="7"/>
        <v>58.04885564155262</v>
      </c>
    </row>
    <row r="23" spans="10:18" x14ac:dyDescent="0.3">
      <c r="J23" s="3" t="s">
        <v>9</v>
      </c>
      <c r="K23" s="7">
        <f>kg!$I$5</f>
        <v>54053.2</v>
      </c>
      <c r="L23" s="7">
        <f>'Single Exponen'!$I$4</f>
        <v>37060.587273430006</v>
      </c>
      <c r="M23" s="7">
        <f>'Double Exponen'!$I$4</f>
        <v>27088.938232561006</v>
      </c>
      <c r="N23" s="7">
        <f>'Konstanta a'!$I$4</f>
        <v>47032.236314299007</v>
      </c>
      <c r="O23" s="7">
        <f>'Konstanta b'!$I$4</f>
        <v>1107.9610045410002</v>
      </c>
      <c r="P23" s="7">
        <f>Peramalan!$I$4</f>
        <v>45385.343597900006</v>
      </c>
      <c r="Q23" s="7">
        <f t="shared" si="6"/>
        <v>16.035787709330794</v>
      </c>
      <c r="R23" s="7">
        <f t="shared" si="7"/>
        <v>16.035787709330794</v>
      </c>
    </row>
    <row r="24" spans="10:18" x14ac:dyDescent="0.3">
      <c r="J24" s="3" t="s">
        <v>10</v>
      </c>
      <c r="K24" s="7">
        <f>kg!$J$5</f>
        <v>11264.5</v>
      </c>
      <c r="L24" s="7">
        <f>'Single Exponen'!$J$4</f>
        <v>34480.978546087004</v>
      </c>
      <c r="M24" s="7">
        <f>'Double Exponen'!$J$4</f>
        <v>27828.142263913607</v>
      </c>
      <c r="N24" s="7">
        <f>'Konstanta a'!$J$4</f>
        <v>41133.814828260402</v>
      </c>
      <c r="O24" s="7">
        <f>'Konstanta b'!$J$4</f>
        <v>739.20403135259971</v>
      </c>
      <c r="P24" s="7">
        <f>Peramalan!$J$4</f>
        <v>48140.197318840008</v>
      </c>
      <c r="Q24" s="7">
        <f t="shared" si="6"/>
        <v>-327.36204286777053</v>
      </c>
      <c r="R24" s="7">
        <f t="shared" si="7"/>
        <v>327.36204286777053</v>
      </c>
    </row>
    <row r="25" spans="10:18" x14ac:dyDescent="0.3">
      <c r="J25" s="3" t="s">
        <v>11</v>
      </c>
      <c r="K25" s="7">
        <f>kg!$K$5</f>
        <v>24215</v>
      </c>
      <c r="L25" s="7">
        <f>'Single Exponen'!$K$4</f>
        <v>33454.380691478305</v>
      </c>
      <c r="M25" s="7">
        <f>'Double Exponen'!$K$4</f>
        <v>28390.766106670075</v>
      </c>
      <c r="N25" s="7">
        <f>'Konstanta a'!$K$4</f>
        <v>38517.995276286536</v>
      </c>
      <c r="O25" s="7">
        <f>'Konstanta b'!$K$4</f>
        <v>562.62384275647014</v>
      </c>
      <c r="P25" s="7">
        <f>Peramalan!$K$4</f>
        <v>41873.018859613003</v>
      </c>
      <c r="Q25" s="7">
        <f t="shared" si="6"/>
        <v>-72.921820605463566</v>
      </c>
      <c r="R25" s="7">
        <f t="shared" si="7"/>
        <v>72.921820605463566</v>
      </c>
    </row>
    <row r="26" spans="10:18" x14ac:dyDescent="0.3">
      <c r="J26" s="3" t="s">
        <v>12</v>
      </c>
      <c r="K26" s="7">
        <f>kg!$L$5</f>
        <v>26860.6</v>
      </c>
      <c r="L26" s="7">
        <f>'Single Exponen'!$L$4</f>
        <v>32795.002622330474</v>
      </c>
      <c r="M26" s="7">
        <f>'Double Exponen'!$L$4</f>
        <v>28831.189758236116</v>
      </c>
      <c r="N26" s="7">
        <f>'Konstanta a'!$L$4</f>
        <v>36758.815486424835</v>
      </c>
      <c r="O26" s="7">
        <f>'Konstanta b'!$L$4</f>
        <v>440.42365156603978</v>
      </c>
      <c r="P26" s="7">
        <f>Peramalan!$L$4</f>
        <v>39080.619119043004</v>
      </c>
      <c r="Q26" s="7">
        <f t="shared" si="6"/>
        <v>-45.494215017695083</v>
      </c>
      <c r="R26" s="7">
        <f t="shared" si="7"/>
        <v>45.494215017695083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Exponen'!$M$4</f>
        <v>32900.772360097428</v>
      </c>
      <c r="M27" s="7">
        <f>'Double Exponen'!$M$4</f>
        <v>29238.148018422249</v>
      </c>
      <c r="N27" s="7">
        <f>'Konstanta a'!$M$4</f>
        <v>36563.39670177261</v>
      </c>
      <c r="O27" s="7">
        <f>'Konstanta b'!$M$4</f>
        <v>406.95826018613099</v>
      </c>
      <c r="P27" s="7">
        <f>Peramalan!$M$4</f>
        <v>37199.239137990873</v>
      </c>
      <c r="Q27" s="7">
        <f t="shared" si="6"/>
        <v>-9.8855900356275175</v>
      </c>
      <c r="R27" s="7">
        <f t="shared" si="7"/>
        <v>9.8855900356275175</v>
      </c>
    </row>
    <row r="28" spans="10:18" x14ac:dyDescent="0.3">
      <c r="Q28" s="6">
        <f>(SUM(Q17:Q27)/12)</f>
        <v>-23.339378817785171</v>
      </c>
      <c r="R28" s="6">
        <f>(SUM(R17:R27)/12)</f>
        <v>57.06188592635943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Exponen'!$B$5</f>
        <v>4698.6499999999996</v>
      </c>
      <c r="M30" s="7">
        <f>'Double Exponen'!$B$5</f>
        <v>4698.6499999999996</v>
      </c>
      <c r="N30" s="7">
        <f>'Konstanta a'!$B$5</f>
        <v>4698.6499999999996</v>
      </c>
      <c r="O30" s="7">
        <f>'Konstanta b'!$B$5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Exponen'!$C$5</f>
        <v>5093.2849999999999</v>
      </c>
      <c r="M31" s="7">
        <f>'Double Exponen'!$C$5</f>
        <v>4738.1134999999995</v>
      </c>
      <c r="N31" s="7">
        <f>'Konstanta a'!$C$5</f>
        <v>5448.4565000000002</v>
      </c>
      <c r="O31" s="7">
        <f>'Konstanta b'!$C$5</f>
        <v>39.463500000000046</v>
      </c>
      <c r="P31" s="7">
        <f>Peramalan!$C$5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Exponen'!$D$5</f>
        <v>5382.9014999999999</v>
      </c>
      <c r="M32" s="7">
        <f>'Double Exponen'!$D$5</f>
        <v>4802.5922999999993</v>
      </c>
      <c r="N32" s="7">
        <f>'Konstanta a'!$D$5</f>
        <v>5963.2107000000005</v>
      </c>
      <c r="O32" s="7">
        <f>'Konstanta b'!$D$5</f>
        <v>64.478800000000078</v>
      </c>
      <c r="P32" s="7">
        <f>Peramalan!$D$5</f>
        <v>5487.92</v>
      </c>
      <c r="Q32" s="7">
        <f t="shared" ref="Q32:Q41" si="8">((K32-P32)/K32)*100</f>
        <v>31.310415610586457</v>
      </c>
      <c r="R32" s="7">
        <f t="shared" ref="R32:R41" si="9">ABS((K32-P32)/K32)*100</f>
        <v>31.310415610586457</v>
      </c>
    </row>
    <row r="33" spans="10:18" x14ac:dyDescent="0.3">
      <c r="J33" s="3" t="s">
        <v>5</v>
      </c>
      <c r="K33" s="7">
        <f>kg!$E$6</f>
        <v>6543.56</v>
      </c>
      <c r="L33" s="7">
        <f>'Single Exponen'!$E$5</f>
        <v>5498.9673499999999</v>
      </c>
      <c r="M33" s="7">
        <f>'Double Exponen'!$E$5</f>
        <v>4872.2298049999999</v>
      </c>
      <c r="N33" s="7">
        <f>'Konstanta a'!$E$5</f>
        <v>6125.7048949999999</v>
      </c>
      <c r="O33" s="7">
        <f>'Konstanta b'!$E$5</f>
        <v>69.637505000000004</v>
      </c>
      <c r="P33" s="7">
        <f>Peramalan!$E$5</f>
        <v>6027.6895000000004</v>
      </c>
      <c r="Q33" s="7">
        <f t="shared" si="8"/>
        <v>7.8836367359663537</v>
      </c>
      <c r="R33" s="7">
        <f t="shared" si="9"/>
        <v>7.8836367359663537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Exponen'!$F$5</f>
        <v>9518.8306149999989</v>
      </c>
      <c r="M34" s="7">
        <f>'Double Exponen'!$F$5</f>
        <v>5336.8898859999999</v>
      </c>
      <c r="N34" s="7">
        <f>'Konstanta a'!$F$5</f>
        <v>13700.771343999997</v>
      </c>
      <c r="O34" s="7">
        <f>'Konstanta b'!$F$5</f>
        <v>464.66008099999993</v>
      </c>
      <c r="P34" s="7">
        <f>Peramalan!$F$5</f>
        <v>6195.3423999999995</v>
      </c>
      <c r="Q34" s="7">
        <f t="shared" si="8"/>
        <v>86.442740100136547</v>
      </c>
      <c r="R34" s="7">
        <f t="shared" si="9"/>
        <v>86.442740100136547</v>
      </c>
    </row>
    <row r="35" spans="10:18" x14ac:dyDescent="0.3">
      <c r="J35" s="3" t="s">
        <v>7</v>
      </c>
      <c r="K35" s="7">
        <f>kg!$G$6</f>
        <v>6943.02</v>
      </c>
      <c r="L35" s="7">
        <f>'Single Exponen'!$G$5</f>
        <v>9261.2495534999998</v>
      </c>
      <c r="M35" s="7">
        <f>'Double Exponen'!$G$5</f>
        <v>5729.3258527500002</v>
      </c>
      <c r="N35" s="7">
        <f>'Konstanta a'!$G$5</f>
        <v>12793.173254249999</v>
      </c>
      <c r="O35" s="7">
        <f>'Konstanta b'!$G$5</f>
        <v>392.43596674999998</v>
      </c>
      <c r="P35" s="7">
        <f>Peramalan!$G$5</f>
        <v>14165.431424999997</v>
      </c>
      <c r="Q35" s="7">
        <f t="shared" si="8"/>
        <v>-104.02406193558417</v>
      </c>
      <c r="R35" s="7">
        <f t="shared" si="9"/>
        <v>104.02406193558417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Exponen'!$H$5</f>
        <v>9197.8955981500003</v>
      </c>
      <c r="M36" s="7">
        <f>'Double Exponen'!$H$5</f>
        <v>6076.1828272900002</v>
      </c>
      <c r="N36" s="7">
        <f>'Konstanta a'!$H$5</f>
        <v>12319.60836901</v>
      </c>
      <c r="O36" s="7">
        <f>'Konstanta b'!$H$5</f>
        <v>346.85697454000001</v>
      </c>
      <c r="P36" s="7">
        <f>Peramalan!$H$5</f>
        <v>13185.609220999999</v>
      </c>
      <c r="Q36" s="7">
        <f t="shared" si="8"/>
        <v>-52.828609457202433</v>
      </c>
      <c r="R36" s="7">
        <f t="shared" si="9"/>
        <v>52.828609457202433</v>
      </c>
    </row>
    <row r="37" spans="10:18" x14ac:dyDescent="0.3">
      <c r="J37" s="3" t="s">
        <v>9</v>
      </c>
      <c r="K37" s="7">
        <f>kg!$I$6</f>
        <v>17194</v>
      </c>
      <c r="L37" s="7">
        <f>'Single Exponen'!$I$5</f>
        <v>9997.506038335001</v>
      </c>
      <c r="M37" s="7">
        <f>'Double Exponen'!$I$5</f>
        <v>6468.3151483945012</v>
      </c>
      <c r="N37" s="7">
        <f>'Konstanta a'!$I$5</f>
        <v>13526.696928275502</v>
      </c>
      <c r="O37" s="7">
        <f>'Konstanta b'!$I$5</f>
        <v>392.13232110450002</v>
      </c>
      <c r="P37" s="7">
        <f>Peramalan!$I$5</f>
        <v>12666.46534355</v>
      </c>
      <c r="Q37" s="7">
        <f t="shared" si="8"/>
        <v>26.332061512446199</v>
      </c>
      <c r="R37" s="7">
        <f t="shared" si="9"/>
        <v>26.332061512446199</v>
      </c>
    </row>
    <row r="38" spans="10:18" x14ac:dyDescent="0.3">
      <c r="J38" s="3" t="s">
        <v>10</v>
      </c>
      <c r="K38" s="7">
        <f>kg!$J$6</f>
        <v>17242</v>
      </c>
      <c r="L38" s="7">
        <f>'Single Exponen'!$J$5</f>
        <v>10721.955434501502</v>
      </c>
      <c r="M38" s="7">
        <f>'Double Exponen'!$J$5</f>
        <v>6893.6791770052014</v>
      </c>
      <c r="N38" s="7">
        <f>'Konstanta a'!$J$5</f>
        <v>14550.231691997804</v>
      </c>
      <c r="O38" s="7">
        <f>'Konstanta b'!$J$5</f>
        <v>425.36402861070013</v>
      </c>
      <c r="P38" s="7">
        <f>Peramalan!$J$5</f>
        <v>13918.829249380002</v>
      </c>
      <c r="Q38" s="7">
        <f t="shared" si="8"/>
        <v>19.273696500521968</v>
      </c>
      <c r="R38" s="7">
        <f t="shared" si="9"/>
        <v>19.273696500521968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Exponen'!$K$5</f>
        <v>13166.479891051351</v>
      </c>
      <c r="M39" s="7">
        <f>'Double Exponen'!$K$5</f>
        <v>7520.9592484098166</v>
      </c>
      <c r="N39" s="7">
        <f>'Konstanta a'!$K$5</f>
        <v>18812.000533692884</v>
      </c>
      <c r="O39" s="7">
        <f>'Konstanta b'!$K$5</f>
        <v>627.280071404615</v>
      </c>
      <c r="P39" s="7">
        <f>Peramalan!$K$5</f>
        <v>14975.595720608504</v>
      </c>
      <c r="Q39" s="7">
        <f t="shared" si="8"/>
        <v>57.416013442615544</v>
      </c>
      <c r="R39" s="7">
        <f t="shared" si="9"/>
        <v>57.416013442615544</v>
      </c>
    </row>
    <row r="40" spans="10:18" x14ac:dyDescent="0.3">
      <c r="J40" s="3" t="s">
        <v>12</v>
      </c>
      <c r="K40" s="7">
        <f>kg!$L$6</f>
        <v>6543.4</v>
      </c>
      <c r="L40" s="7">
        <f>'Single Exponen'!$L$5</f>
        <v>12504.171901946216</v>
      </c>
      <c r="M40" s="7">
        <f>'Double Exponen'!$L$5</f>
        <v>8019.2805137634568</v>
      </c>
      <c r="N40" s="7">
        <f>'Konstanta a'!$L$5</f>
        <v>16989.063290128975</v>
      </c>
      <c r="O40" s="7">
        <f>'Konstanta b'!$L$5</f>
        <v>498.32126535363994</v>
      </c>
      <c r="P40" s="7">
        <f>Peramalan!$L$5</f>
        <v>19439.280605097498</v>
      </c>
      <c r="Q40" s="7">
        <f t="shared" si="8"/>
        <v>-197.08226006506555</v>
      </c>
      <c r="R40" s="7">
        <f t="shared" si="9"/>
        <v>197.08226006506555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Exponen'!$M$5</f>
        <v>12093.908711751596</v>
      </c>
      <c r="M41" s="7">
        <f>'Double Exponen'!$M$5</f>
        <v>8426.7433335622718</v>
      </c>
      <c r="N41" s="7">
        <f>'Konstanta a'!$M$5</f>
        <v>15761.074089940919</v>
      </c>
      <c r="O41" s="7">
        <f>'Konstanta b'!$M$5</f>
        <v>407.46281979881377</v>
      </c>
      <c r="P41" s="7">
        <f>Peramalan!$M$5</f>
        <v>17487.384555482615</v>
      </c>
      <c r="Q41" s="7">
        <f t="shared" si="8"/>
        <v>-108.14498955527931</v>
      </c>
      <c r="R41" s="7">
        <f t="shared" si="9"/>
        <v>108.14498955527931</v>
      </c>
    </row>
    <row r="42" spans="10:18" x14ac:dyDescent="0.3">
      <c r="Q42" s="6">
        <f>(SUM(Q31:Q41)/12)</f>
        <v>-15.647702257792281</v>
      </c>
      <c r="R42" s="6">
        <f>(SUM(R31:R41)/12)</f>
        <v>61.365617911062969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5180F-6A53-494F-945C-1EEB939FEF11}">
  <dimension ref="A1:AA42"/>
  <sheetViews>
    <sheetView topLeftCell="A16" workbookViewId="0">
      <selection activeCell="K29" sqref="K29:R29"/>
    </sheetView>
  </sheetViews>
  <sheetFormatPr defaultColWidth="8.88671875" defaultRowHeight="14.4" x14ac:dyDescent="0.3"/>
  <cols>
    <col min="1" max="1" width="10.33203125" style="1" bestFit="1" customWidth="1"/>
    <col min="2" max="2" width="9.44140625" style="1" bestFit="1" customWidth="1"/>
    <col min="3" max="4" width="8.44140625" style="1" bestFit="1" customWidth="1"/>
    <col min="5" max="5" width="9.44140625" style="1" bestFit="1" customWidth="1"/>
    <col min="6" max="6" width="8.109375" style="1" bestFit="1" customWidth="1"/>
    <col min="7" max="7" width="9.44140625" style="1" bestFit="1" customWidth="1"/>
    <col min="8" max="8" width="7.109375" style="1" bestFit="1" customWidth="1"/>
    <col min="9" max="9" width="6.44140625" style="1" bestFit="1" customWidth="1"/>
    <col min="10" max="10" width="13.6640625" style="1" bestFit="1" customWidth="1"/>
    <col min="11" max="14" width="9.44140625" style="1" bestFit="1" customWidth="1"/>
    <col min="15" max="15" width="9.109375" style="1" bestFit="1" customWidth="1"/>
    <col min="16" max="16" width="9.44140625" style="1" bestFit="1" customWidth="1"/>
    <col min="17" max="17" width="7.109375" style="1" bestFit="1" customWidth="1"/>
    <col min="18" max="18" width="6.44140625" style="1" bestFit="1" customWidth="1"/>
    <col min="19" max="19" width="14.109375" style="1" bestFit="1" customWidth="1"/>
    <col min="20" max="23" width="8.44140625" style="1" bestFit="1" customWidth="1"/>
    <col min="24" max="24" width="8.109375" style="1" bestFit="1" customWidth="1"/>
    <col min="25" max="25" width="8.44140625" style="1" bestFit="1" customWidth="1"/>
    <col min="26" max="26" width="8.109375" style="1" bestFit="1" customWidth="1"/>
    <col min="27" max="27" width="7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Exponen'!$B$8</f>
        <v>12588.09</v>
      </c>
      <c r="D2" s="7">
        <f>'Double Exponen'!$B$8</f>
        <v>12588.09</v>
      </c>
      <c r="E2" s="7">
        <f>'Konstanta a'!$B$8</f>
        <v>12588.09</v>
      </c>
      <c r="F2" s="7">
        <f>'Konstanta b'!$B$8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Exponen'!$B$9</f>
        <v>459915.78</v>
      </c>
      <c r="M2" s="7">
        <f>'Double Exponen'!$B$9</f>
        <v>459915.78</v>
      </c>
      <c r="N2" s="7">
        <f>'Konstanta a'!$B$9</f>
        <v>459915.78</v>
      </c>
      <c r="O2" s="7">
        <f>'Konstanta b'!$B$9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Exponen'!$B$12</f>
        <v>1033.08</v>
      </c>
      <c r="V2" s="7">
        <f>'Double Exponen'!$B$12</f>
        <v>1033.08</v>
      </c>
      <c r="W2" s="7">
        <f>'Konstanta a'!$B$12</f>
        <v>1033.08</v>
      </c>
      <c r="X2" s="7">
        <f>'Konstanta b'!$B$12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Exponen'!$C$8</f>
        <v>11028.422000000002</v>
      </c>
      <c r="D3" s="7">
        <f>'Double Exponen'!$C$8</f>
        <v>12276.156400000002</v>
      </c>
      <c r="E3" s="7">
        <f>'Konstanta a'!$C$8</f>
        <v>9780.6876000000029</v>
      </c>
      <c r="F3" s="7">
        <f>'Konstanta b'!$C$8</f>
        <v>-311.93359999999984</v>
      </c>
      <c r="G3" s="7">
        <f>Peramalan!$C$8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Exponen'!$C$9</f>
        <v>447376.77600000007</v>
      </c>
      <c r="M3" s="7">
        <f>'Double Exponen'!$C$9</f>
        <v>457407.97920000006</v>
      </c>
      <c r="N3" s="7">
        <f>'Konstanta a'!$C$9</f>
        <v>437345.57280000008</v>
      </c>
      <c r="O3" s="7">
        <f>'Konstanta b'!$C$9</f>
        <v>-2507.8007999999973</v>
      </c>
      <c r="P3" s="7">
        <f>Peramalan!$C$9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Exponen'!$C$12</f>
        <v>5922.0519999999997</v>
      </c>
      <c r="V3" s="7">
        <f>'Double Exponen'!$C$12</f>
        <v>2010.8743999999999</v>
      </c>
      <c r="W3" s="7">
        <f>'Konstanta a'!$C$12</f>
        <v>9833.2295999999988</v>
      </c>
      <c r="X3" s="7">
        <f>'Konstanta b'!$C$12</f>
        <v>977.7944</v>
      </c>
      <c r="Y3" s="7">
        <f>Peramalan!$C$12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Exponen'!$D$8</f>
        <v>13027.905600000002</v>
      </c>
      <c r="D4" s="7">
        <f>'Double Exponen'!$D$8</f>
        <v>12426.506240000002</v>
      </c>
      <c r="E4" s="7">
        <f>'Konstanta a'!$D$8</f>
        <v>13629.304960000001</v>
      </c>
      <c r="F4" s="7">
        <f>'Konstanta b'!$D$8</f>
        <v>150.34983999999986</v>
      </c>
      <c r="G4" s="7">
        <f>Peramalan!$D$8</f>
        <v>9468.7540000000026</v>
      </c>
      <c r="H4" s="7">
        <f t="shared" ref="H4:H13" si="0">((B4-G4)/B4)*100</f>
        <v>54.966108369511026</v>
      </c>
      <c r="I4" s="7">
        <f t="shared" ref="I4:I13" si="1">ABS((B4-G4)/B4)*100</f>
        <v>54.966108369511026</v>
      </c>
      <c r="J4" s="3" t="s">
        <v>4</v>
      </c>
      <c r="K4" s="7">
        <f>kg!$D$4</f>
        <v>389238.98</v>
      </c>
      <c r="L4" s="7">
        <f>'Single Exponen'!$D$9</f>
        <v>435749.21680000005</v>
      </c>
      <c r="M4" s="7">
        <f>'Double Exponen'!$D$9</f>
        <v>453076.22672000009</v>
      </c>
      <c r="N4" s="7">
        <f>'Konstanta a'!$D$9</f>
        <v>418422.20688000001</v>
      </c>
      <c r="O4" s="7">
        <f>'Konstanta b'!$D$9</f>
        <v>-4331.7524800000101</v>
      </c>
      <c r="P4" s="7">
        <f>Peramalan!$D$9</f>
        <v>434837.77200000011</v>
      </c>
      <c r="Q4" s="7">
        <f t="shared" ref="Q4:Q13" si="2">((K4-P4)/K4)*100</f>
        <v>-11.714857540732467</v>
      </c>
      <c r="R4" s="7">
        <f t="shared" ref="R4:R13" si="3">ABS((K4-P4)/K4)*100</f>
        <v>11.714857540732467</v>
      </c>
      <c r="S4" s="3" t="s">
        <v>4</v>
      </c>
      <c r="T4" s="7">
        <f>kg!$D$7</f>
        <v>19497.02</v>
      </c>
      <c r="U4" s="7">
        <f>'Single Exponen'!$D$12</f>
        <v>8637.0456000000013</v>
      </c>
      <c r="V4" s="7">
        <f>'Double Exponen'!$D$12</f>
        <v>3336.1086400000004</v>
      </c>
      <c r="W4" s="7">
        <f>'Konstanta a'!$D$12</f>
        <v>13937.982560000002</v>
      </c>
      <c r="X4" s="7">
        <f>'Konstanta b'!$D$12</f>
        <v>1325.2342400000002</v>
      </c>
      <c r="Y4" s="7">
        <f>Peramalan!$D$12</f>
        <v>10811.023999999999</v>
      </c>
      <c r="Z4" s="7">
        <f t="shared" ref="Z4:Z13" si="4">((T4-Y4)/T4)*100</f>
        <v>44.550377442296316</v>
      </c>
      <c r="AA4" s="7">
        <f t="shared" ref="AA4:AA13" si="5">ABS((T4-Y4)/T4)*100</f>
        <v>44.550377442296316</v>
      </c>
    </row>
    <row r="5" spans="1:27" x14ac:dyDescent="0.3">
      <c r="A5" s="3" t="s">
        <v>5</v>
      </c>
      <c r="B5" s="7">
        <f>kg!$E$3</f>
        <v>11100.97</v>
      </c>
      <c r="C5" s="7">
        <f>'Single Exponen'!$E$8</f>
        <v>12642.518480000002</v>
      </c>
      <c r="D5" s="7">
        <f>'Double Exponen'!$E$8</f>
        <v>12469.708688000002</v>
      </c>
      <c r="E5" s="7">
        <f>'Konstanta a'!$E$8</f>
        <v>12815.328272000002</v>
      </c>
      <c r="F5" s="7">
        <f>'Konstanta b'!$E$8</f>
        <v>43.202448000000004</v>
      </c>
      <c r="G5" s="7">
        <f>Peramalan!$E$8</f>
        <v>13779.6548</v>
      </c>
      <c r="H5" s="7">
        <f t="shared" si="0"/>
        <v>-24.130186821512005</v>
      </c>
      <c r="I5" s="7">
        <f t="shared" si="1"/>
        <v>24.130186821512005</v>
      </c>
      <c r="J5" s="3" t="s">
        <v>5</v>
      </c>
      <c r="K5" s="7">
        <f>kg!$E$4</f>
        <v>505904.1</v>
      </c>
      <c r="L5" s="7">
        <f>'Single Exponen'!$E$9</f>
        <v>449780.19344000006</v>
      </c>
      <c r="M5" s="7">
        <f>'Double Exponen'!$E$9</f>
        <v>452417.0200640001</v>
      </c>
      <c r="N5" s="7">
        <f>'Konstanta a'!$E$9</f>
        <v>447143.36681600002</v>
      </c>
      <c r="O5" s="7">
        <f>'Konstanta b'!$E$9</f>
        <v>-659.20665600000939</v>
      </c>
      <c r="P5" s="7">
        <f>Peramalan!$E$9</f>
        <v>414090.45439999999</v>
      </c>
      <c r="Q5" s="7">
        <f t="shared" si="2"/>
        <v>18.148428842541499</v>
      </c>
      <c r="R5" s="7">
        <f t="shared" si="3"/>
        <v>18.148428842541499</v>
      </c>
      <c r="S5" s="3" t="s">
        <v>5</v>
      </c>
      <c r="T5" s="7">
        <f>kg!$E$7</f>
        <v>18855.900000000001</v>
      </c>
      <c r="U5" s="7">
        <f>'Single Exponen'!$E$12</f>
        <v>10680.816480000001</v>
      </c>
      <c r="V5" s="7">
        <f>'Double Exponen'!$E$12</f>
        <v>4805.0502080000006</v>
      </c>
      <c r="W5" s="7">
        <f>'Konstanta a'!$E$12</f>
        <v>16556.582752000002</v>
      </c>
      <c r="X5" s="7">
        <f>'Konstanta b'!$E$12</f>
        <v>1468.9415680000002</v>
      </c>
      <c r="Y5" s="7">
        <f>Peramalan!$E$12</f>
        <v>15263.216800000002</v>
      </c>
      <c r="Z5" s="7">
        <f t="shared" si="4"/>
        <v>19.053363668666037</v>
      </c>
      <c r="AA5" s="7">
        <f t="shared" si="5"/>
        <v>19.053363668666037</v>
      </c>
    </row>
    <row r="6" spans="1:27" x14ac:dyDescent="0.3">
      <c r="A6" s="3" t="s">
        <v>6</v>
      </c>
      <c r="B6" s="7">
        <f>kg!$F$3</f>
        <v>9095.66</v>
      </c>
      <c r="C6" s="7">
        <f>'Single Exponen'!$F$8</f>
        <v>11933.146784000002</v>
      </c>
      <c r="D6" s="7">
        <f>'Double Exponen'!$F$8</f>
        <v>12362.396307200002</v>
      </c>
      <c r="E6" s="7">
        <f>'Konstanta a'!$F$8</f>
        <v>11503.897260800002</v>
      </c>
      <c r="F6" s="7">
        <f>'Konstanta b'!$F$8</f>
        <v>-107.31238080000003</v>
      </c>
      <c r="G6" s="7">
        <f>Peramalan!$F$8</f>
        <v>12858.530720000002</v>
      </c>
      <c r="H6" s="7">
        <f t="shared" si="0"/>
        <v>-41.369957979959707</v>
      </c>
      <c r="I6" s="7">
        <f t="shared" si="1"/>
        <v>41.369957979959707</v>
      </c>
      <c r="J6" s="3" t="s">
        <v>6</v>
      </c>
      <c r="K6" s="7">
        <f>kg!$F$4</f>
        <v>201079.58</v>
      </c>
      <c r="L6" s="7">
        <f>'Single Exponen'!$F$9</f>
        <v>400040.07075200009</v>
      </c>
      <c r="M6" s="7">
        <f>'Double Exponen'!$F$9</f>
        <v>441941.63020160008</v>
      </c>
      <c r="N6" s="7">
        <f>'Konstanta a'!$F$9</f>
        <v>358138.51130240009</v>
      </c>
      <c r="O6" s="7">
        <f>'Konstanta b'!$F$9</f>
        <v>-10475.389862399999</v>
      </c>
      <c r="P6" s="7">
        <f>Peramalan!$F$9</f>
        <v>446484.16016000003</v>
      </c>
      <c r="Q6" s="7">
        <f t="shared" si="2"/>
        <v>-122.04351140976128</v>
      </c>
      <c r="R6" s="7">
        <f t="shared" si="3"/>
        <v>122.04351140976128</v>
      </c>
      <c r="S6" s="3" t="s">
        <v>6</v>
      </c>
      <c r="T6" s="7">
        <f>kg!$F$7</f>
        <v>26851.599999999999</v>
      </c>
      <c r="U6" s="7">
        <f>'Single Exponen'!$F$12</f>
        <v>13914.973184</v>
      </c>
      <c r="V6" s="7">
        <f>'Double Exponen'!$F$12</f>
        <v>6627.0348032000002</v>
      </c>
      <c r="W6" s="7">
        <f>'Konstanta a'!$F$12</f>
        <v>21202.911564800001</v>
      </c>
      <c r="X6" s="7">
        <f>'Konstanta b'!$F$12</f>
        <v>1821.9845952000001</v>
      </c>
      <c r="Y6" s="7">
        <f>Peramalan!$F$12</f>
        <v>18025.524320000004</v>
      </c>
      <c r="Z6" s="7">
        <f t="shared" si="4"/>
        <v>32.869831518419737</v>
      </c>
      <c r="AA6" s="7">
        <f t="shared" si="5"/>
        <v>32.869831518419737</v>
      </c>
    </row>
    <row r="7" spans="1:27" x14ac:dyDescent="0.3">
      <c r="A7" s="3" t="s">
        <v>7</v>
      </c>
      <c r="B7" s="7">
        <f>kg!$G$3</f>
        <v>8185.36</v>
      </c>
      <c r="C7" s="7">
        <f>'Single Exponen'!$G$8</f>
        <v>11183.589427200002</v>
      </c>
      <c r="D7" s="7">
        <f>'Double Exponen'!$G$8</f>
        <v>12126.634931200004</v>
      </c>
      <c r="E7" s="7">
        <f>'Konstanta a'!$G$8</f>
        <v>10240.543923200001</v>
      </c>
      <c r="F7" s="7">
        <f>'Konstanta b'!$G$8</f>
        <v>-235.76137600000038</v>
      </c>
      <c r="G7" s="7">
        <f>Peramalan!$G$8</f>
        <v>11396.584880000002</v>
      </c>
      <c r="H7" s="7">
        <f t="shared" si="0"/>
        <v>-39.231321285807866</v>
      </c>
      <c r="I7" s="7">
        <f t="shared" si="1"/>
        <v>39.231321285807866</v>
      </c>
      <c r="J7" s="3" t="s">
        <v>7</v>
      </c>
      <c r="K7" s="7">
        <f>kg!$G$4</f>
        <v>378271.8</v>
      </c>
      <c r="L7" s="7">
        <f>'Single Exponen'!$G$9</f>
        <v>395686.41660160007</v>
      </c>
      <c r="M7" s="7">
        <f>'Double Exponen'!$G$9</f>
        <v>432690.58748160012</v>
      </c>
      <c r="N7" s="7">
        <f>'Konstanta a'!$G$9</f>
        <v>358682.24572160002</v>
      </c>
      <c r="O7" s="7">
        <f>'Konstanta b'!$G$9</f>
        <v>-9251.0427200000122</v>
      </c>
      <c r="P7" s="7">
        <f>Peramalan!$G$9</f>
        <v>347663.12144000008</v>
      </c>
      <c r="Q7" s="7">
        <f t="shared" si="2"/>
        <v>8.0917156816870595</v>
      </c>
      <c r="R7" s="7">
        <f t="shared" si="3"/>
        <v>8.0917156816870595</v>
      </c>
      <c r="S7" s="3" t="s">
        <v>7</v>
      </c>
      <c r="T7" s="7">
        <f>kg!$G$7</f>
        <v>17468.29</v>
      </c>
      <c r="U7" s="7">
        <f>'Single Exponen'!$G$12</f>
        <v>14625.6365472</v>
      </c>
      <c r="V7" s="7">
        <f>'Double Exponen'!$G$12</f>
        <v>8226.7551520000015</v>
      </c>
      <c r="W7" s="7">
        <f>'Konstanta a'!$G$12</f>
        <v>21024.517942399998</v>
      </c>
      <c r="X7" s="7">
        <f>'Konstanta b'!$G$12</f>
        <v>1599.7203487999996</v>
      </c>
      <c r="Y7" s="7">
        <f>Peramalan!$G$12</f>
        <v>23024.89616</v>
      </c>
      <c r="Z7" s="7">
        <f t="shared" si="4"/>
        <v>-31.809674329885745</v>
      </c>
      <c r="AA7" s="7">
        <f t="shared" si="5"/>
        <v>31.809674329885745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Exponen'!$H$8</f>
        <v>12599.951541760001</v>
      </c>
      <c r="D8" s="7">
        <f>'Double Exponen'!$H$8</f>
        <v>12221.298253312003</v>
      </c>
      <c r="E8" s="7">
        <f>'Konstanta a'!$H$8</f>
        <v>12978.604830208</v>
      </c>
      <c r="F8" s="7">
        <f>'Konstanta b'!$H$8</f>
        <v>94.663322111999605</v>
      </c>
      <c r="G8" s="7">
        <f>Peramalan!$H$8</f>
        <v>10004.7825472</v>
      </c>
      <c r="H8" s="7">
        <f t="shared" si="0"/>
        <v>45.225494392676865</v>
      </c>
      <c r="I8" s="7">
        <f t="shared" si="1"/>
        <v>45.225494392676865</v>
      </c>
      <c r="J8" s="3" t="s">
        <v>8</v>
      </c>
      <c r="K8" s="7">
        <f>kg!$H$4</f>
        <v>463478.68</v>
      </c>
      <c r="L8" s="7">
        <f>'Single Exponen'!$H$9</f>
        <v>409244.86928128009</v>
      </c>
      <c r="M8" s="7">
        <f>'Double Exponen'!$H$9</f>
        <v>428001.44384153618</v>
      </c>
      <c r="N8" s="7">
        <f>'Konstanta a'!$H$9</f>
        <v>390488.29472102399</v>
      </c>
      <c r="O8" s="7">
        <f>'Konstanta b'!$H$9</f>
        <v>-4689.1436400640232</v>
      </c>
      <c r="P8" s="7">
        <f>Peramalan!$H$9</f>
        <v>349431.20300159999</v>
      </c>
      <c r="Q8" s="7">
        <f t="shared" si="2"/>
        <v>24.606844267011375</v>
      </c>
      <c r="R8" s="7">
        <f t="shared" si="3"/>
        <v>24.606844267011375</v>
      </c>
      <c r="S8" s="3" t="s">
        <v>8</v>
      </c>
      <c r="T8" s="7">
        <f>kg!$H$7</f>
        <v>53358.239999999998</v>
      </c>
      <c r="U8" s="7">
        <f>'Single Exponen'!$H$12</f>
        <v>22372.157237760002</v>
      </c>
      <c r="V8" s="7">
        <f>'Double Exponen'!$H$12</f>
        <v>11055.835569152001</v>
      </c>
      <c r="W8" s="7">
        <f>'Konstanta a'!$H$12</f>
        <v>33688.478906368007</v>
      </c>
      <c r="X8" s="7">
        <f>'Konstanta b'!$H$12</f>
        <v>2829.0804171520003</v>
      </c>
      <c r="Y8" s="7">
        <f>Peramalan!$H$12</f>
        <v>22624.238291199996</v>
      </c>
      <c r="Z8" s="7">
        <f t="shared" si="4"/>
        <v>57.599354305539322</v>
      </c>
      <c r="AA8" s="7">
        <f t="shared" si="5"/>
        <v>57.599354305539322</v>
      </c>
    </row>
    <row r="9" spans="1:27" x14ac:dyDescent="0.3">
      <c r="A9" s="3" t="s">
        <v>9</v>
      </c>
      <c r="B9" s="7">
        <f>kg!$I$3</f>
        <v>11044.68</v>
      </c>
      <c r="C9" s="7">
        <f>'Single Exponen'!$I$8</f>
        <v>12288.897233408001</v>
      </c>
      <c r="D9" s="7">
        <f>'Double Exponen'!$I$8</f>
        <v>12234.818049331203</v>
      </c>
      <c r="E9" s="7">
        <f>'Konstanta a'!$I$8</f>
        <v>12342.976417484799</v>
      </c>
      <c r="F9" s="7">
        <f>'Konstanta b'!$I$8</f>
        <v>13.519796019199475</v>
      </c>
      <c r="G9" s="7">
        <f>Peramalan!$I$8</f>
        <v>13073.268152319999</v>
      </c>
      <c r="H9" s="7">
        <f t="shared" si="0"/>
        <v>-18.367106627987397</v>
      </c>
      <c r="I9" s="7">
        <f t="shared" si="1"/>
        <v>18.367106627987397</v>
      </c>
      <c r="J9" s="3" t="s">
        <v>9</v>
      </c>
      <c r="K9" s="7">
        <f>kg!$I$4</f>
        <v>511860.86</v>
      </c>
      <c r="L9" s="7">
        <f>'Single Exponen'!$I$9</f>
        <v>429768.06742502411</v>
      </c>
      <c r="M9" s="7">
        <f>'Double Exponen'!$I$9</f>
        <v>428354.7685582338</v>
      </c>
      <c r="N9" s="7">
        <f>'Konstanta a'!$I$9</f>
        <v>431181.36629181443</v>
      </c>
      <c r="O9" s="7">
        <f>'Konstanta b'!$I$9</f>
        <v>353.32471669757797</v>
      </c>
      <c r="P9" s="7">
        <f>Peramalan!$I$9</f>
        <v>385799.15108095994</v>
      </c>
      <c r="Q9" s="7">
        <f t="shared" si="2"/>
        <v>24.628120407377903</v>
      </c>
      <c r="R9" s="7">
        <f t="shared" si="3"/>
        <v>24.628120407377903</v>
      </c>
      <c r="S9" s="3" t="s">
        <v>9</v>
      </c>
      <c r="T9" s="7">
        <f>kg!$I$7</f>
        <v>31973.26</v>
      </c>
      <c r="U9" s="7">
        <f>'Single Exponen'!$I$12</f>
        <v>24292.377790208004</v>
      </c>
      <c r="V9" s="7">
        <f>'Double Exponen'!$I$12</f>
        <v>13703.144013363202</v>
      </c>
      <c r="W9" s="7">
        <f>'Konstanta a'!$I$12</f>
        <v>34881.611567052809</v>
      </c>
      <c r="X9" s="7">
        <f>'Konstanta b'!$I$12</f>
        <v>2647.3084442112004</v>
      </c>
      <c r="Y9" s="7">
        <f>Peramalan!$I$12</f>
        <v>36517.559323520007</v>
      </c>
      <c r="Z9" s="7">
        <f t="shared" si="4"/>
        <v>-14.212811966999951</v>
      </c>
      <c r="AA9" s="7">
        <f t="shared" si="5"/>
        <v>14.212811966999951</v>
      </c>
    </row>
    <row r="10" spans="1:27" x14ac:dyDescent="0.3">
      <c r="A10" s="3" t="s">
        <v>10</v>
      </c>
      <c r="B10" s="7">
        <f>kg!$J$3</f>
        <v>10889.55</v>
      </c>
      <c r="C10" s="7">
        <f>'Single Exponen'!$J$8</f>
        <v>12009.027786726401</v>
      </c>
      <c r="D10" s="7">
        <f>'Double Exponen'!$J$8</f>
        <v>12189.659996810244</v>
      </c>
      <c r="E10" s="7">
        <f>'Konstanta a'!$J$8</f>
        <v>11828.395576642559</v>
      </c>
      <c r="F10" s="7">
        <f>'Konstanta b'!$J$8</f>
        <v>-45.158052520960609</v>
      </c>
      <c r="G10" s="7">
        <f>Peramalan!$J$8</f>
        <v>12356.496213503999</v>
      </c>
      <c r="H10" s="7">
        <f t="shared" si="0"/>
        <v>-13.471137131506808</v>
      </c>
      <c r="I10" s="7">
        <f t="shared" si="1"/>
        <v>13.471137131506808</v>
      </c>
      <c r="J10" s="3" t="s">
        <v>10</v>
      </c>
      <c r="K10" s="7">
        <f>kg!$J$4</f>
        <v>513170.2</v>
      </c>
      <c r="L10" s="7">
        <f>'Single Exponen'!$J$9</f>
        <v>446448.49394001928</v>
      </c>
      <c r="M10" s="7">
        <f>'Double Exponen'!$J$9</f>
        <v>431973.51363459096</v>
      </c>
      <c r="N10" s="7">
        <f>'Konstanta a'!$J$9</f>
        <v>460923.47424544761</v>
      </c>
      <c r="O10" s="7">
        <f>'Konstanta b'!$J$9</f>
        <v>3618.7450763570814</v>
      </c>
      <c r="P10" s="7">
        <f>Peramalan!$J$9</f>
        <v>431534.69100851199</v>
      </c>
      <c r="Q10" s="7">
        <f t="shared" si="2"/>
        <v>15.908076694922663</v>
      </c>
      <c r="R10" s="7">
        <f t="shared" si="3"/>
        <v>15.908076694922663</v>
      </c>
      <c r="S10" s="3" t="s">
        <v>10</v>
      </c>
      <c r="T10" s="7">
        <f>kg!$J$7</f>
        <v>28522.799999999999</v>
      </c>
      <c r="U10" s="7">
        <f>'Single Exponen'!$J$12</f>
        <v>25138.462232166406</v>
      </c>
      <c r="V10" s="7">
        <f>'Double Exponen'!$J$12</f>
        <v>15990.207657123843</v>
      </c>
      <c r="W10" s="7">
        <f>'Konstanta a'!$J$12</f>
        <v>34286.71680720897</v>
      </c>
      <c r="X10" s="7">
        <f>'Konstanta b'!$J$12</f>
        <v>2287.0636437606408</v>
      </c>
      <c r="Y10" s="7">
        <f>Peramalan!$J$12</f>
        <v>37528.92001126401</v>
      </c>
      <c r="Z10" s="7">
        <f t="shared" si="4"/>
        <v>-31.57516096338372</v>
      </c>
      <c r="AA10" s="7">
        <f t="shared" si="5"/>
        <v>31.57516096338372</v>
      </c>
    </row>
    <row r="11" spans="1:27" x14ac:dyDescent="0.3">
      <c r="A11" s="3" t="s">
        <v>11</v>
      </c>
      <c r="B11" s="7">
        <f>kg!$K$3</f>
        <v>8406.34</v>
      </c>
      <c r="C11" s="7">
        <f>'Single Exponen'!$K$8</f>
        <v>11288.490229381121</v>
      </c>
      <c r="D11" s="7">
        <f>'Double Exponen'!$K$8</f>
        <v>12009.42604332442</v>
      </c>
      <c r="E11" s="7">
        <f>'Konstanta a'!$K$8</f>
        <v>10567.554415437822</v>
      </c>
      <c r="F11" s="7">
        <f>'Konstanta b'!$K$8</f>
        <v>-180.23395348582471</v>
      </c>
      <c r="G11" s="7">
        <f>Peramalan!$K$8</f>
        <v>11783.237524121598</v>
      </c>
      <c r="H11" s="7">
        <f t="shared" si="0"/>
        <v>-40.170841580540376</v>
      </c>
      <c r="I11" s="7">
        <f t="shared" si="1"/>
        <v>40.170841580540376</v>
      </c>
      <c r="J11" s="3" t="s">
        <v>11</v>
      </c>
      <c r="K11" s="7">
        <f>kg!$K$4</f>
        <v>525723.46</v>
      </c>
      <c r="L11" s="7">
        <f>'Single Exponen'!$K$9</f>
        <v>462303.48715201544</v>
      </c>
      <c r="M11" s="7">
        <f>'Double Exponen'!$K$9</f>
        <v>438039.50833807589</v>
      </c>
      <c r="N11" s="7">
        <f>'Konstanta a'!$K$9</f>
        <v>486567.46596595499</v>
      </c>
      <c r="O11" s="7">
        <f>'Konstanta b'!$K$9</f>
        <v>6065.9947034848883</v>
      </c>
      <c r="P11" s="7">
        <f>Peramalan!$K$9</f>
        <v>464542.2193218047</v>
      </c>
      <c r="Q11" s="7">
        <f t="shared" si="2"/>
        <v>11.637532910970963</v>
      </c>
      <c r="R11" s="7">
        <f t="shared" si="3"/>
        <v>11.637532910970963</v>
      </c>
      <c r="S11" s="3" t="s">
        <v>11</v>
      </c>
      <c r="T11" s="7">
        <f>kg!$K$7</f>
        <v>51078.26</v>
      </c>
      <c r="U11" s="7">
        <f>'Single Exponen'!$K$12</f>
        <v>30326.421785733128</v>
      </c>
      <c r="V11" s="7">
        <f>'Double Exponen'!$K$12</f>
        <v>18857.450482845699</v>
      </c>
      <c r="W11" s="7">
        <f>'Konstanta a'!$K$12</f>
        <v>41795.393088620556</v>
      </c>
      <c r="X11" s="7">
        <f>'Konstanta b'!$K$12</f>
        <v>2867.2428257218571</v>
      </c>
      <c r="Y11" s="7">
        <f>Peramalan!$K$12</f>
        <v>36573.780450969614</v>
      </c>
      <c r="Z11" s="7">
        <f t="shared" si="4"/>
        <v>28.396581146324067</v>
      </c>
      <c r="AA11" s="7">
        <f t="shared" si="5"/>
        <v>28.396581146324067</v>
      </c>
    </row>
    <row r="12" spans="1:27" x14ac:dyDescent="0.3">
      <c r="A12" s="3" t="s">
        <v>12</v>
      </c>
      <c r="B12" s="7">
        <f>kg!$L$3</f>
        <v>18149.95</v>
      </c>
      <c r="C12" s="7">
        <f>'Single Exponen'!$L$8</f>
        <v>12660.782183504896</v>
      </c>
      <c r="D12" s="7">
        <f>'Double Exponen'!$L$8</f>
        <v>12139.697271360516</v>
      </c>
      <c r="E12" s="7">
        <f>'Konstanta a'!$L$8</f>
        <v>13181.867095649277</v>
      </c>
      <c r="F12" s="7">
        <f>'Konstanta b'!$L$8</f>
        <v>130.27122803609518</v>
      </c>
      <c r="G12" s="7">
        <f>Peramalan!$L$8</f>
        <v>10387.320461951997</v>
      </c>
      <c r="H12" s="7">
        <f t="shared" si="0"/>
        <v>42.769426571687546</v>
      </c>
      <c r="I12" s="7">
        <f t="shared" si="1"/>
        <v>42.769426571687546</v>
      </c>
      <c r="J12" s="3" t="s">
        <v>12</v>
      </c>
      <c r="K12" s="7">
        <f>kg!$L$4</f>
        <v>480711.96</v>
      </c>
      <c r="L12" s="7">
        <f>'Single Exponen'!$L$9</f>
        <v>465985.18172161235</v>
      </c>
      <c r="M12" s="7">
        <f>'Double Exponen'!$L$9</f>
        <v>443628.64301478321</v>
      </c>
      <c r="N12" s="7">
        <f>'Konstanta a'!$L$9</f>
        <v>488341.72042844148</v>
      </c>
      <c r="O12" s="7">
        <f>'Konstanta b'!$L$9</f>
        <v>5589.1346767072828</v>
      </c>
      <c r="P12" s="7">
        <f>Peramalan!$L$9</f>
        <v>492633.46066943987</v>
      </c>
      <c r="Q12" s="7">
        <f t="shared" si="2"/>
        <v>-2.4799675609152407</v>
      </c>
      <c r="R12" s="7">
        <f t="shared" si="3"/>
        <v>2.4799675609152407</v>
      </c>
      <c r="S12" s="3" t="s">
        <v>12</v>
      </c>
      <c r="T12" s="7">
        <f>kg!$L$7</f>
        <v>50149.88</v>
      </c>
      <c r="U12" s="7">
        <f>'Single Exponen'!$L$12</f>
        <v>34291.113428586505</v>
      </c>
      <c r="V12" s="7">
        <f>'Double Exponen'!$L$12</f>
        <v>21944.183071993859</v>
      </c>
      <c r="W12" s="7">
        <f>'Konstanta a'!$L$12</f>
        <v>46638.04378517915</v>
      </c>
      <c r="X12" s="7">
        <f>'Konstanta b'!$L$12</f>
        <v>3086.7325891481614</v>
      </c>
      <c r="Y12" s="7">
        <f>Peramalan!$L$12</f>
        <v>44662.635914342412</v>
      </c>
      <c r="Z12" s="7">
        <f t="shared" si="4"/>
        <v>10.941689363279803</v>
      </c>
      <c r="AA12" s="7">
        <f t="shared" si="5"/>
        <v>10.941689363279803</v>
      </c>
    </row>
    <row r="13" spans="1:27" x14ac:dyDescent="0.3">
      <c r="A13" s="3" t="s">
        <v>13</v>
      </c>
      <c r="B13" s="7">
        <f>kg!$M$3</f>
        <v>11905.39</v>
      </c>
      <c r="C13" s="7">
        <f>'Single Exponen'!$M$8</f>
        <v>12509.703746803918</v>
      </c>
      <c r="D13" s="7">
        <f>'Double Exponen'!$M$8</f>
        <v>12213.698566449197</v>
      </c>
      <c r="E13" s="7">
        <f>'Konstanta a'!$M$8</f>
        <v>12805.708927158639</v>
      </c>
      <c r="F13" s="7">
        <f>'Konstanta b'!$M$8</f>
        <v>74.001295088680308</v>
      </c>
      <c r="G13" s="7">
        <f>Peramalan!$M$8</f>
        <v>13312.138323685373</v>
      </c>
      <c r="H13" s="7">
        <f t="shared" si="0"/>
        <v>-11.816062503499451</v>
      </c>
      <c r="I13" s="7">
        <f t="shared" si="1"/>
        <v>11.816062503499451</v>
      </c>
      <c r="J13" s="3" t="s">
        <v>13</v>
      </c>
      <c r="K13" s="7">
        <f>kg!$M$4</f>
        <v>428532.64</v>
      </c>
      <c r="L13" s="7">
        <f>'Single Exponen'!$M$9</f>
        <v>458494.6733772899</v>
      </c>
      <c r="M13" s="7">
        <f>'Double Exponen'!$M$9</f>
        <v>446601.84908728459</v>
      </c>
      <c r="N13" s="7">
        <f>'Konstanta a'!$M$9</f>
        <v>470387.49766729522</v>
      </c>
      <c r="O13" s="7">
        <f>'Konstanta b'!$M$9</f>
        <v>2973.2060725013289</v>
      </c>
      <c r="P13" s="7">
        <f>Peramalan!$M$9</f>
        <v>493930.85510514874</v>
      </c>
      <c r="Q13" s="7">
        <f t="shared" si="2"/>
        <v>-15.260964743583763</v>
      </c>
      <c r="R13" s="7">
        <f t="shared" si="3"/>
        <v>15.260964743583763</v>
      </c>
      <c r="S13" s="3" t="s">
        <v>13</v>
      </c>
      <c r="T13" s="7">
        <f>kg!$M$7</f>
        <v>42897.42</v>
      </c>
      <c r="U13" s="7">
        <f>'Single Exponen'!$M$12</f>
        <v>36012.3747428692</v>
      </c>
      <c r="V13" s="7">
        <f>'Double Exponen'!$M$12</f>
        <v>24757.821406168929</v>
      </c>
      <c r="W13" s="7">
        <f>'Konstanta a'!$M$12</f>
        <v>47266.928079569472</v>
      </c>
      <c r="X13" s="7">
        <f>'Konstanta b'!$M$12</f>
        <v>2813.6383341750679</v>
      </c>
      <c r="Y13" s="7">
        <f>Peramalan!$M$12</f>
        <v>49724.77637432731</v>
      </c>
      <c r="Z13" s="7">
        <f t="shared" si="4"/>
        <v>-15.915540781537239</v>
      </c>
      <c r="AA13" s="7">
        <f t="shared" si="5"/>
        <v>15.915540781537239</v>
      </c>
    </row>
    <row r="14" spans="1:27" x14ac:dyDescent="0.3">
      <c r="H14" s="6">
        <f>(SUM(H3:H13)/12)</f>
        <v>-17.367389587542576</v>
      </c>
      <c r="I14" s="6">
        <f>(SUM(I3:I13)/12)</f>
        <v>41.194227809855143</v>
      </c>
      <c r="Q14" s="6">
        <f>(SUM(Q3:Q13)/12)</f>
        <v>-5.3551668524539613</v>
      </c>
      <c r="R14" s="6">
        <f>(SUM(R3:R13)/12)</f>
        <v>22.525286653205871</v>
      </c>
      <c r="Z14" s="6">
        <f>(SUM(Z3:Z13)/12)</f>
        <v>16.320267290323518</v>
      </c>
      <c r="AA14" s="6">
        <f>(SUM(AA3:AA13)/12)</f>
        <v>31.905798630624627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Exponen'!$B$10</f>
        <v>23458.3</v>
      </c>
      <c r="M16" s="7">
        <f>'Double Exponen'!$B$10</f>
        <v>23458.3</v>
      </c>
      <c r="N16" s="7">
        <f>'Konstanta a'!$B$10</f>
        <v>23458.3</v>
      </c>
      <c r="O16" s="7">
        <f>'Konstanta b'!$B$10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Exponen'!$C$10</f>
        <v>27209.96</v>
      </c>
      <c r="M17" s="7">
        <f>'Double Exponen'!$C$10</f>
        <v>24208.631999999998</v>
      </c>
      <c r="N17" s="7">
        <f>'Konstanta a'!$C$10</f>
        <v>30211.288</v>
      </c>
      <c r="O17" s="7">
        <f>'Konstanta b'!$C$10</f>
        <v>750.33200000000033</v>
      </c>
      <c r="P17" s="7">
        <f>Peramalan!$C$10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Exponen'!$D$10</f>
        <v>27518.348000000002</v>
      </c>
      <c r="M18" s="7">
        <f>'Double Exponen'!$D$10</f>
        <v>24870.575199999999</v>
      </c>
      <c r="N18" s="7">
        <f>'Konstanta a'!$D$10</f>
        <v>30166.120800000004</v>
      </c>
      <c r="O18" s="7">
        <f>'Konstanta b'!$D$10</f>
        <v>661.94320000000062</v>
      </c>
      <c r="P18" s="7">
        <f>Peramalan!$D$10</f>
        <v>30961.620000000003</v>
      </c>
      <c r="Q18" s="7">
        <f t="shared" ref="Q18:Q27" si="6">((K18-P18)/K18)*100</f>
        <v>-7.68547469906337</v>
      </c>
      <c r="R18" s="7">
        <f t="shared" ref="R18:R27" si="7">ABS((K18-P18)/K18)*100</f>
        <v>7.68547469906337</v>
      </c>
    </row>
    <row r="19" spans="10:18" x14ac:dyDescent="0.3">
      <c r="J19" s="3" t="s">
        <v>5</v>
      </c>
      <c r="K19" s="7">
        <f>kg!$E$5</f>
        <v>39376.9</v>
      </c>
      <c r="L19" s="7">
        <f>'Single Exponen'!$E$10</f>
        <v>29890.058400000005</v>
      </c>
      <c r="M19" s="7">
        <f>'Double Exponen'!$E$10</f>
        <v>25874.471840000006</v>
      </c>
      <c r="N19" s="7">
        <f>'Konstanta a'!$E$10</f>
        <v>33905.644960000005</v>
      </c>
      <c r="O19" s="7">
        <f>'Konstanta b'!$E$10</f>
        <v>1003.8966399999999</v>
      </c>
      <c r="P19" s="7">
        <f>Peramalan!$E$10</f>
        <v>30828.064000000006</v>
      </c>
      <c r="Q19" s="7">
        <f t="shared" si="6"/>
        <v>21.710281916555125</v>
      </c>
      <c r="R19" s="7">
        <f t="shared" si="7"/>
        <v>21.710281916555125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Exponen'!$F$10</f>
        <v>28684.366720000005</v>
      </c>
      <c r="M20" s="7">
        <f>'Double Exponen'!$F$10</f>
        <v>26436.450816000004</v>
      </c>
      <c r="N20" s="7">
        <f>'Konstanta a'!$F$10</f>
        <v>30932.282624000007</v>
      </c>
      <c r="O20" s="7">
        <f>'Konstanta b'!$F$10</f>
        <v>561.97897600000033</v>
      </c>
      <c r="P20" s="7">
        <f>Peramalan!$F$10</f>
        <v>34909.541600000004</v>
      </c>
      <c r="Q20" s="7">
        <f t="shared" si="6"/>
        <v>-46.300087169343243</v>
      </c>
      <c r="R20" s="7">
        <f t="shared" si="7"/>
        <v>46.300087169343243</v>
      </c>
    </row>
    <row r="21" spans="10:18" x14ac:dyDescent="0.3">
      <c r="J21" s="3" t="s">
        <v>7</v>
      </c>
      <c r="K21" s="7">
        <f>kg!$G$5</f>
        <v>57216.9</v>
      </c>
      <c r="L21" s="7">
        <f>'Single Exponen'!$G$10</f>
        <v>34390.873376000003</v>
      </c>
      <c r="M21" s="7">
        <f>'Double Exponen'!$G$10</f>
        <v>28027.335328000005</v>
      </c>
      <c r="N21" s="7">
        <f>'Konstanta a'!$G$10</f>
        <v>40754.411424000005</v>
      </c>
      <c r="O21" s="7">
        <f>'Konstanta b'!$G$10</f>
        <v>1590.8845119999996</v>
      </c>
      <c r="P21" s="7">
        <f>Peramalan!$G$10</f>
        <v>31494.261600000005</v>
      </c>
      <c r="Q21" s="7">
        <f t="shared" si="6"/>
        <v>44.956364990064117</v>
      </c>
      <c r="R21" s="7">
        <f t="shared" si="7"/>
        <v>44.956364990064117</v>
      </c>
    </row>
    <row r="22" spans="10:18" x14ac:dyDescent="0.3">
      <c r="J22" s="3" t="s">
        <v>8</v>
      </c>
      <c r="K22" s="7">
        <f>kg!$H$5</f>
        <v>83736.7</v>
      </c>
      <c r="L22" s="7">
        <f>'Single Exponen'!$H$10</f>
        <v>44260.038700800003</v>
      </c>
      <c r="M22" s="7">
        <f>'Double Exponen'!$H$10</f>
        <v>31273.876002560006</v>
      </c>
      <c r="N22" s="7">
        <f>'Konstanta a'!$H$10</f>
        <v>57246.201399040001</v>
      </c>
      <c r="O22" s="7">
        <f>'Konstanta b'!$H$10</f>
        <v>3246.5406745599994</v>
      </c>
      <c r="P22" s="7">
        <f>Peramalan!$H$10</f>
        <v>42345.295936000002</v>
      </c>
      <c r="Q22" s="7">
        <f t="shared" si="6"/>
        <v>49.43042186281523</v>
      </c>
      <c r="R22" s="7">
        <f t="shared" si="7"/>
        <v>49.43042186281523</v>
      </c>
    </row>
    <row r="23" spans="10:18" x14ac:dyDescent="0.3">
      <c r="J23" s="3" t="s">
        <v>9</v>
      </c>
      <c r="K23" s="7">
        <f>kg!$I$5</f>
        <v>54053.2</v>
      </c>
      <c r="L23" s="7">
        <f>'Single Exponen'!$I$10</f>
        <v>46218.670960640004</v>
      </c>
      <c r="M23" s="7">
        <f>'Double Exponen'!$I$10</f>
        <v>34262.83499417601</v>
      </c>
      <c r="N23" s="7">
        <f>'Konstanta a'!$I$10</f>
        <v>58174.506927103997</v>
      </c>
      <c r="O23" s="7">
        <f>'Konstanta b'!$I$10</f>
        <v>2988.9589916159985</v>
      </c>
      <c r="P23" s="7">
        <f>Peramalan!$I$10</f>
        <v>60492.742073599999</v>
      </c>
      <c r="Q23" s="7">
        <f t="shared" si="6"/>
        <v>-11.913341066948862</v>
      </c>
      <c r="R23" s="7">
        <f t="shared" si="7"/>
        <v>11.913341066948862</v>
      </c>
    </row>
    <row r="24" spans="10:18" x14ac:dyDescent="0.3">
      <c r="J24" s="3" t="s">
        <v>10</v>
      </c>
      <c r="K24" s="7">
        <f>kg!$J$5</f>
        <v>11264.5</v>
      </c>
      <c r="L24" s="7">
        <f>'Single Exponen'!$J$10</f>
        <v>39227.836768512003</v>
      </c>
      <c r="M24" s="7">
        <f>'Double Exponen'!$J$10</f>
        <v>35255.835349043205</v>
      </c>
      <c r="N24" s="7">
        <f>'Konstanta a'!$J$10</f>
        <v>43199.8381879808</v>
      </c>
      <c r="O24" s="7">
        <f>'Konstanta b'!$J$10</f>
        <v>993.00035486719935</v>
      </c>
      <c r="P24" s="7">
        <f>Peramalan!$J$10</f>
        <v>61163.465918719994</v>
      </c>
      <c r="Q24" s="7">
        <f t="shared" si="6"/>
        <v>-442.97541762812369</v>
      </c>
      <c r="R24" s="7">
        <f t="shared" si="7"/>
        <v>442.97541762812369</v>
      </c>
    </row>
    <row r="25" spans="10:18" x14ac:dyDescent="0.3">
      <c r="J25" s="3" t="s">
        <v>11</v>
      </c>
      <c r="K25" s="7">
        <f>kg!$K$5</f>
        <v>24215</v>
      </c>
      <c r="L25" s="7">
        <f>'Single Exponen'!$K$10</f>
        <v>36225.269414809605</v>
      </c>
      <c r="M25" s="7">
        <f>'Double Exponen'!$K$10</f>
        <v>35449.722162196485</v>
      </c>
      <c r="N25" s="7">
        <f>'Konstanta a'!$K$10</f>
        <v>37000.816667422725</v>
      </c>
      <c r="O25" s="7">
        <f>'Konstanta b'!$K$10</f>
        <v>193.88681315327995</v>
      </c>
      <c r="P25" s="7">
        <f>Peramalan!$K$10</f>
        <v>44192.838542847996</v>
      </c>
      <c r="Q25" s="7">
        <f t="shared" si="6"/>
        <v>-82.501914279776983</v>
      </c>
      <c r="R25" s="7">
        <f t="shared" si="7"/>
        <v>82.501914279776983</v>
      </c>
    </row>
    <row r="26" spans="10:18" x14ac:dyDescent="0.3">
      <c r="J26" s="3" t="s">
        <v>12</v>
      </c>
      <c r="K26" s="7">
        <f>kg!$L$5</f>
        <v>26860.6</v>
      </c>
      <c r="L26" s="7">
        <f>'Single Exponen'!$L$10</f>
        <v>34352.33553184769</v>
      </c>
      <c r="M26" s="7">
        <f>'Double Exponen'!$L$10</f>
        <v>35230.244836126731</v>
      </c>
      <c r="N26" s="7">
        <f>'Konstanta a'!$L$10</f>
        <v>33474.426227568649</v>
      </c>
      <c r="O26" s="7">
        <f>'Konstanta b'!$L$10</f>
        <v>-219.47732606976024</v>
      </c>
      <c r="P26" s="7">
        <f>Peramalan!$L$10</f>
        <v>37194.703480576005</v>
      </c>
      <c r="Q26" s="7">
        <f t="shared" si="6"/>
        <v>-38.473092487047971</v>
      </c>
      <c r="R26" s="7">
        <f t="shared" si="7"/>
        <v>38.473092487047971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Exponen'!$M$10</f>
        <v>34252.408425478156</v>
      </c>
      <c r="M27" s="7">
        <f>'Double Exponen'!$M$10</f>
        <v>35034.677553997019</v>
      </c>
      <c r="N27" s="7">
        <f>'Konstanta a'!$M$10</f>
        <v>33470.139296959293</v>
      </c>
      <c r="O27" s="7">
        <f>'Konstanta b'!$M$10</f>
        <v>-195.56728212971575</v>
      </c>
      <c r="P27" s="7">
        <f>Peramalan!$M$10</f>
        <v>33254.948901498887</v>
      </c>
      <c r="Q27" s="7">
        <f t="shared" si="6"/>
        <v>1.7657412806101447</v>
      </c>
      <c r="R27" s="7">
        <f t="shared" si="7"/>
        <v>1.7657412806101447</v>
      </c>
    </row>
    <row r="28" spans="10:18" x14ac:dyDescent="0.3">
      <c r="Q28" s="6">
        <f>(SUM(Q17:Q27)/12)</f>
        <v>-38.96275399845441</v>
      </c>
      <c r="R28" s="6">
        <f>(SUM(R17:R27)/12)</f>
        <v>66.012133889929629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Exponen'!$B$11</f>
        <v>4698.6499999999996</v>
      </c>
      <c r="M30" s="7">
        <f>'Double Exponen'!$B$11</f>
        <v>4698.6499999999996</v>
      </c>
      <c r="N30" s="7">
        <f>'Konstanta a'!$B$11</f>
        <v>4698.6499999999996</v>
      </c>
      <c r="O30" s="7">
        <f>'Konstanta b'!$B$11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Exponen'!$C$11</f>
        <v>5487.92</v>
      </c>
      <c r="M31" s="7">
        <f>'Double Exponen'!$C$11</f>
        <v>4856.5039999999999</v>
      </c>
      <c r="N31" s="7">
        <f>'Konstanta a'!$C$11</f>
        <v>6119.3360000000002</v>
      </c>
      <c r="O31" s="7">
        <f>'Konstanta b'!$C$11</f>
        <v>157.85400000000004</v>
      </c>
      <c r="P31" s="7">
        <f>Peramalan!$C$11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Exponen'!$D$11</f>
        <v>5988.2260000000006</v>
      </c>
      <c r="M32" s="7">
        <f>'Double Exponen'!$D$11</f>
        <v>5082.8483999999999</v>
      </c>
      <c r="N32" s="7">
        <f>'Konstanta a'!$D$11</f>
        <v>6893.6036000000013</v>
      </c>
      <c r="O32" s="7">
        <f>'Konstanta b'!$D$11</f>
        <v>226.34440000000018</v>
      </c>
      <c r="P32" s="7">
        <f>Peramalan!$D$11</f>
        <v>6277.1900000000005</v>
      </c>
      <c r="Q32" s="7">
        <f t="shared" ref="Q32:Q41" si="8">((K32-P32)/K32)*100</f>
        <v>21.431512807514903</v>
      </c>
      <c r="R32" s="7">
        <f t="shared" ref="R32:R41" si="9">ABS((K32-P32)/K32)*100</f>
        <v>21.431512807514903</v>
      </c>
    </row>
    <row r="33" spans="10:18" x14ac:dyDescent="0.3">
      <c r="J33" s="3" t="s">
        <v>5</v>
      </c>
      <c r="K33" s="7">
        <f>kg!$E$6</f>
        <v>6543.56</v>
      </c>
      <c r="L33" s="7">
        <f>'Single Exponen'!$E$11</f>
        <v>6099.2928000000011</v>
      </c>
      <c r="M33" s="7">
        <f>'Double Exponen'!$E$11</f>
        <v>5286.1372800000008</v>
      </c>
      <c r="N33" s="7">
        <f>'Konstanta a'!$E$11</f>
        <v>6912.4483200000013</v>
      </c>
      <c r="O33" s="7">
        <f>'Konstanta b'!$E$11</f>
        <v>203.28888000000006</v>
      </c>
      <c r="P33" s="7">
        <f>Peramalan!$E$11</f>
        <v>7119.9480000000012</v>
      </c>
      <c r="Q33" s="7">
        <f t="shared" si="8"/>
        <v>-8.8084773426086223</v>
      </c>
      <c r="R33" s="7">
        <f t="shared" si="9"/>
        <v>8.8084773426086223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Exponen'!$F$11</f>
        <v>14018.954240000003</v>
      </c>
      <c r="M34" s="7">
        <f>'Double Exponen'!$F$11</f>
        <v>7032.7006720000018</v>
      </c>
      <c r="N34" s="7">
        <f>'Konstanta a'!$F$11</f>
        <v>21005.207808000003</v>
      </c>
      <c r="O34" s="7">
        <f>'Konstanta b'!$F$11</f>
        <v>1746.5633920000002</v>
      </c>
      <c r="P34" s="7">
        <f>Peramalan!$F$11</f>
        <v>7115.7372000000014</v>
      </c>
      <c r="Q34" s="7">
        <f t="shared" si="8"/>
        <v>84.42864132908511</v>
      </c>
      <c r="R34" s="7">
        <f t="shared" si="9"/>
        <v>84.42864132908511</v>
      </c>
    </row>
    <row r="35" spans="10:18" x14ac:dyDescent="0.3">
      <c r="J35" s="3" t="s">
        <v>7</v>
      </c>
      <c r="K35" s="7">
        <f>kg!$G$6</f>
        <v>6943.02</v>
      </c>
      <c r="L35" s="7">
        <f>'Single Exponen'!$G$11</f>
        <v>12603.767392000002</v>
      </c>
      <c r="M35" s="7">
        <f>'Double Exponen'!$G$11</f>
        <v>8146.9140160000024</v>
      </c>
      <c r="N35" s="7">
        <f>'Konstanta a'!$G$11</f>
        <v>17060.620768000001</v>
      </c>
      <c r="O35" s="7">
        <f>'Konstanta b'!$G$11</f>
        <v>1114.2133439999998</v>
      </c>
      <c r="P35" s="7">
        <f>Peramalan!$G$11</f>
        <v>22751.771200000003</v>
      </c>
      <c r="Q35" s="7">
        <f t="shared" si="8"/>
        <v>-227.69272161105687</v>
      </c>
      <c r="R35" s="7">
        <f t="shared" si="9"/>
        <v>227.69272161105687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Exponen'!$H$11</f>
        <v>11808.555913600001</v>
      </c>
      <c r="M36" s="7">
        <f>'Double Exponen'!$H$11</f>
        <v>8879.2423955200029</v>
      </c>
      <c r="N36" s="7">
        <f>'Konstanta a'!$H$11</f>
        <v>14737.869431679999</v>
      </c>
      <c r="O36" s="7">
        <f>'Konstanta b'!$H$11</f>
        <v>732.32837951999954</v>
      </c>
      <c r="P36" s="7">
        <f>Peramalan!$H$11</f>
        <v>18174.834112</v>
      </c>
      <c r="Q36" s="7">
        <f t="shared" si="8"/>
        <v>-110.65652545113365</v>
      </c>
      <c r="R36" s="7">
        <f t="shared" si="9"/>
        <v>110.65652545113365</v>
      </c>
    </row>
    <row r="37" spans="10:18" x14ac:dyDescent="0.3">
      <c r="J37" s="3" t="s">
        <v>9</v>
      </c>
      <c r="K37" s="7">
        <f>kg!$I$6</f>
        <v>17194</v>
      </c>
      <c r="L37" s="7">
        <f>'Single Exponen'!$I$11</f>
        <v>12885.644730880002</v>
      </c>
      <c r="M37" s="7">
        <f>'Double Exponen'!$I$11</f>
        <v>9680.5228625920026</v>
      </c>
      <c r="N37" s="7">
        <f>'Konstanta a'!$I$11</f>
        <v>16090.766599168001</v>
      </c>
      <c r="O37" s="7">
        <f>'Konstanta b'!$I$11</f>
        <v>801.28046707199974</v>
      </c>
      <c r="P37" s="7">
        <f>Peramalan!$I$11</f>
        <v>15470.1978112</v>
      </c>
      <c r="Q37" s="7">
        <f t="shared" si="8"/>
        <v>10.025603052227524</v>
      </c>
      <c r="R37" s="7">
        <f t="shared" si="9"/>
        <v>10.025603052227524</v>
      </c>
    </row>
    <row r="38" spans="10:18" x14ac:dyDescent="0.3">
      <c r="J38" s="3" t="s">
        <v>10</v>
      </c>
      <c r="K38" s="7">
        <f>kg!$J$6</f>
        <v>17242</v>
      </c>
      <c r="L38" s="7">
        <f>'Single Exponen'!$J$11</f>
        <v>13756.915784704002</v>
      </c>
      <c r="M38" s="7">
        <f>'Double Exponen'!$J$11</f>
        <v>10495.801447014403</v>
      </c>
      <c r="N38" s="7">
        <f>'Konstanta a'!$J$11</f>
        <v>17018.030122393604</v>
      </c>
      <c r="O38" s="7">
        <f>'Konstanta b'!$J$11</f>
        <v>815.27858442239994</v>
      </c>
      <c r="P38" s="7">
        <f>Peramalan!$J$11</f>
        <v>16892.04706624</v>
      </c>
      <c r="Q38" s="7">
        <f t="shared" si="8"/>
        <v>2.0296539482658611</v>
      </c>
      <c r="R38" s="7">
        <f t="shared" si="9"/>
        <v>2.0296539482658611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Exponen'!$K$11</f>
        <v>18038.972627763203</v>
      </c>
      <c r="M39" s="7">
        <f>'Double Exponen'!$K$11</f>
        <v>12004.435683164163</v>
      </c>
      <c r="N39" s="7">
        <f>'Konstanta a'!$K$11</f>
        <v>24073.509572362243</v>
      </c>
      <c r="O39" s="7">
        <f>'Konstanta b'!$K$11</f>
        <v>1508.63423614976</v>
      </c>
      <c r="P39" s="7">
        <f>Peramalan!$K$11</f>
        <v>17833.308706816002</v>
      </c>
      <c r="Q39" s="7">
        <f t="shared" si="8"/>
        <v>49.28993861662002</v>
      </c>
      <c r="R39" s="7">
        <f t="shared" si="9"/>
        <v>49.28993861662002</v>
      </c>
    </row>
    <row r="40" spans="10:18" x14ac:dyDescent="0.3">
      <c r="J40" s="3" t="s">
        <v>12</v>
      </c>
      <c r="K40" s="7">
        <f>kg!$L$6</f>
        <v>6543.4</v>
      </c>
      <c r="L40" s="7">
        <f>'Single Exponen'!$L$11</f>
        <v>15739.858102210565</v>
      </c>
      <c r="M40" s="7">
        <f>'Double Exponen'!$L$11</f>
        <v>12751.520166973443</v>
      </c>
      <c r="N40" s="7">
        <f>'Konstanta a'!$L$11</f>
        <v>18728.196037447684</v>
      </c>
      <c r="O40" s="7">
        <f>'Konstanta b'!$L$11</f>
        <v>747.0844838092803</v>
      </c>
      <c r="P40" s="7">
        <f>Peramalan!$L$11</f>
        <v>25582.143808512003</v>
      </c>
      <c r="Q40" s="7">
        <f t="shared" si="8"/>
        <v>-290.96102650780944</v>
      </c>
      <c r="R40" s="7">
        <f t="shared" si="9"/>
        <v>290.96102650780944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Exponen'!$M$11</f>
        <v>14272.194481768453</v>
      </c>
      <c r="M41" s="7">
        <f>'Double Exponen'!$M$11</f>
        <v>13055.655029932446</v>
      </c>
      <c r="N41" s="7">
        <f>'Konstanta a'!$M$11</f>
        <v>15488.733933604459</v>
      </c>
      <c r="O41" s="7">
        <f>'Konstanta b'!$M$11</f>
        <v>304.13486295900157</v>
      </c>
      <c r="P41" s="7">
        <f>Peramalan!$M$11</f>
        <v>19475.280521256966</v>
      </c>
      <c r="Q41" s="7">
        <f t="shared" si="8"/>
        <v>-131.80607985270512</v>
      </c>
      <c r="R41" s="7">
        <f t="shared" si="9"/>
        <v>131.80607985270512</v>
      </c>
    </row>
    <row r="42" spans="10:18" x14ac:dyDescent="0.3">
      <c r="Q42" s="6">
        <f>(SUM(Q31:Q41)/12)</f>
        <v>-46.422545916187431</v>
      </c>
      <c r="R42" s="6">
        <f>(SUM(R31:R41)/12)</f>
        <v>81.898259211364859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DB929-7360-4AA5-AE7B-DB781E293518}">
  <dimension ref="A1:AA42"/>
  <sheetViews>
    <sheetView topLeftCell="A19" workbookViewId="0">
      <selection activeCell="K29" sqref="K29:R29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5" width="9.44140625" style="1" bestFit="1" customWidth="1"/>
    <col min="6" max="6" width="8.44140625" style="1" bestFit="1" customWidth="1"/>
    <col min="7" max="7" width="9.44140625" style="1" bestFit="1" customWidth="1"/>
    <col min="8" max="8" width="7.109375" style="1" bestFit="1" customWidth="1"/>
    <col min="9" max="9" width="6.44140625" style="1" bestFit="1" customWidth="1"/>
    <col min="10" max="10" width="13.6640625" style="1" bestFit="1" customWidth="1"/>
    <col min="11" max="14" width="9.44140625" style="1" bestFit="1" customWidth="1"/>
    <col min="15" max="15" width="9.109375" style="1" bestFit="1" customWidth="1"/>
    <col min="16" max="16" width="9.44140625" style="1" bestFit="1" customWidth="1"/>
    <col min="17" max="17" width="7.109375" style="1" bestFit="1" customWidth="1"/>
    <col min="18" max="18" width="6.44140625" style="1" bestFit="1" customWidth="1"/>
    <col min="19" max="19" width="14.109375" style="1" bestFit="1" customWidth="1"/>
    <col min="20" max="23" width="8.44140625" style="1" bestFit="1" customWidth="1"/>
    <col min="24" max="24" width="8.109375" style="1" bestFit="1" customWidth="1"/>
    <col min="25" max="25" width="8.4414062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Exponen'!$B$14</f>
        <v>12588.09</v>
      </c>
      <c r="D2" s="7">
        <f>'Double Exponen'!$B$14</f>
        <v>12588.09</v>
      </c>
      <c r="E2" s="7">
        <f>'Konstanta a'!$B$14</f>
        <v>12588.09</v>
      </c>
      <c r="F2" s="7">
        <f>'Konstanta b'!$B$14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Exponen'!$B$15</f>
        <v>459915.78</v>
      </c>
      <c r="M2" s="7">
        <f>'Double Exponen'!$B$15</f>
        <v>459915.78</v>
      </c>
      <c r="N2" s="7">
        <f>'Konstanta a'!$B$15</f>
        <v>459915.78</v>
      </c>
      <c r="O2" s="7">
        <f>'Konstanta b'!$B$15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Exponen'!$B$18</f>
        <v>1033.08</v>
      </c>
      <c r="V2" s="7">
        <f>'Double Exponen'!$B$18</f>
        <v>1033.08</v>
      </c>
      <c r="W2" s="7">
        <f>'Konstanta a'!$B$18</f>
        <v>1033.08</v>
      </c>
      <c r="X2" s="7">
        <f>'Konstanta b'!$B$18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Exponen'!$C$14</f>
        <v>10248.588</v>
      </c>
      <c r="D3" s="7">
        <f>'Double Exponen'!$C$14</f>
        <v>11886.239399999999</v>
      </c>
      <c r="E3" s="7">
        <f>'Konstanta a'!$C$14</f>
        <v>8610.9366000000009</v>
      </c>
      <c r="F3" s="7">
        <f>'Konstanta b'!$C$14</f>
        <v>-701.85059999999964</v>
      </c>
      <c r="G3" s="7">
        <f>Peramalan!$C$14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Exponen'!$C$15</f>
        <v>441107.27399999998</v>
      </c>
      <c r="M3" s="7">
        <f>'Double Exponen'!$C$15</f>
        <v>454273.22819999995</v>
      </c>
      <c r="N3" s="7">
        <f>'Konstanta a'!$C$15</f>
        <v>427941.3198</v>
      </c>
      <c r="O3" s="7">
        <f>'Konstanta b'!$C$15</f>
        <v>-5642.551799999992</v>
      </c>
      <c r="P3" s="7">
        <f>Peramalan!$C$15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Exponen'!$C$18</f>
        <v>8366.5380000000005</v>
      </c>
      <c r="V3" s="7">
        <f>'Double Exponen'!$C$18</f>
        <v>3233.1174000000001</v>
      </c>
      <c r="W3" s="7">
        <f>'Konstanta a'!$C$18</f>
        <v>13499.958600000002</v>
      </c>
      <c r="X3" s="7">
        <f>'Konstanta b'!$C$18</f>
        <v>2200.0374000000006</v>
      </c>
      <c r="Y3" s="7">
        <f>Peramalan!$C$18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Exponen'!$D$14</f>
        <v>13481.7636</v>
      </c>
      <c r="D4" s="7">
        <f>'Double Exponen'!$D$14</f>
        <v>12364.896659999999</v>
      </c>
      <c r="E4" s="7">
        <f>'Konstanta a'!$D$14</f>
        <v>14598.630540000002</v>
      </c>
      <c r="F4" s="7">
        <f>'Konstanta b'!$D$14</f>
        <v>478.6572600000008</v>
      </c>
      <c r="G4" s="7">
        <f>Peramalan!$D$14</f>
        <v>7909.0860000000011</v>
      </c>
      <c r="H4" s="7">
        <f t="shared" ref="H4:H13" si="0">((B4-G4)/B4)*100</f>
        <v>62.383971341929737</v>
      </c>
      <c r="I4" s="7">
        <f t="shared" ref="I4:I13" si="1">ABS((B4-G4)/B4)*100</f>
        <v>62.383971341929737</v>
      </c>
      <c r="J4" s="3" t="s">
        <v>4</v>
      </c>
      <c r="K4" s="7">
        <f>kg!$D$4</f>
        <v>389238.98</v>
      </c>
      <c r="L4" s="7">
        <f>'Single Exponen'!$D$15</f>
        <v>425546.78579999995</v>
      </c>
      <c r="M4" s="7">
        <f>'Double Exponen'!$D$15</f>
        <v>445655.29547999991</v>
      </c>
      <c r="N4" s="7">
        <f>'Konstanta a'!$D$15</f>
        <v>405438.27611999999</v>
      </c>
      <c r="O4" s="7">
        <f>'Konstanta b'!$D$15</f>
        <v>-8617.9327199999843</v>
      </c>
      <c r="P4" s="7">
        <f>Peramalan!$D$15</f>
        <v>422298.76799999998</v>
      </c>
      <c r="Q4" s="7">
        <f t="shared" ref="Q4:Q13" si="2">((K4-P4)/K4)*100</f>
        <v>-8.4934422549355162</v>
      </c>
      <c r="R4" s="7">
        <f t="shared" ref="R4:R13" si="3">ABS((K4-P4)/K4)*100</f>
        <v>8.4934422549355162</v>
      </c>
      <c r="S4" s="3" t="s">
        <v>4</v>
      </c>
      <c r="T4" s="7">
        <f>kg!$D$7</f>
        <v>19497.02</v>
      </c>
      <c r="U4" s="7">
        <f>'Single Exponen'!$D$18</f>
        <v>11705.6826</v>
      </c>
      <c r="V4" s="7">
        <f>'Double Exponen'!$D$18</f>
        <v>5774.8869599999998</v>
      </c>
      <c r="W4" s="7">
        <f>'Konstanta a'!$D$18</f>
        <v>17636.47824</v>
      </c>
      <c r="X4" s="7">
        <f>'Konstanta b'!$D$18</f>
        <v>2541.7695600000006</v>
      </c>
      <c r="Y4" s="7">
        <f>Peramalan!$D$18</f>
        <v>15699.996000000003</v>
      </c>
      <c r="Z4" s="7">
        <f t="shared" ref="Z4:Z13" si="4">((T4-Y4)/T4)*100</f>
        <v>19.474894112023261</v>
      </c>
      <c r="AA4" s="7">
        <f t="shared" ref="AA4:AA13" si="5">ABS((T4-Y4)/T4)*100</f>
        <v>19.474894112023261</v>
      </c>
    </row>
    <row r="5" spans="1:27" x14ac:dyDescent="0.3">
      <c r="A5" s="3" t="s">
        <v>5</v>
      </c>
      <c r="B5" s="7">
        <f>kg!$E$3</f>
        <v>11100.97</v>
      </c>
      <c r="C5" s="7">
        <f>'Single Exponen'!$E$14</f>
        <v>12767.525519999999</v>
      </c>
      <c r="D5" s="7">
        <f>'Double Exponen'!$E$14</f>
        <v>12485.685317999998</v>
      </c>
      <c r="E5" s="7">
        <f>'Konstanta a'!$E$14</f>
        <v>13049.365722</v>
      </c>
      <c r="F5" s="7">
        <f>'Konstanta b'!$E$14</f>
        <v>120.78865800000055</v>
      </c>
      <c r="G5" s="7">
        <f>Peramalan!$E$14</f>
        <v>15077.287800000002</v>
      </c>
      <c r="H5" s="7">
        <f t="shared" si="0"/>
        <v>-35.819552705754568</v>
      </c>
      <c r="I5" s="7">
        <f t="shared" si="1"/>
        <v>35.819552705754568</v>
      </c>
      <c r="J5" s="3" t="s">
        <v>5</v>
      </c>
      <c r="K5" s="7">
        <f>kg!$E$4</f>
        <v>505904.1</v>
      </c>
      <c r="L5" s="7">
        <f>'Single Exponen'!$E$15</f>
        <v>449653.98005999997</v>
      </c>
      <c r="M5" s="7">
        <f>'Double Exponen'!$E$15</f>
        <v>446854.90085399989</v>
      </c>
      <c r="N5" s="7">
        <f>'Konstanta a'!$E$15</f>
        <v>452453.05926600005</v>
      </c>
      <c r="O5" s="7">
        <f>'Konstanta b'!$E$15</f>
        <v>1199.6053740000355</v>
      </c>
      <c r="P5" s="7">
        <f>Peramalan!$E$15</f>
        <v>396820.34340000001</v>
      </c>
      <c r="Q5" s="7">
        <f t="shared" si="2"/>
        <v>21.562141243765364</v>
      </c>
      <c r="R5" s="7">
        <f t="shared" si="3"/>
        <v>21.562141243765364</v>
      </c>
      <c r="S5" s="3" t="s">
        <v>5</v>
      </c>
      <c r="T5" s="7">
        <f>kg!$E$7</f>
        <v>18855.900000000001</v>
      </c>
      <c r="U5" s="7">
        <f>'Single Exponen'!$E$18</f>
        <v>13850.747820000001</v>
      </c>
      <c r="V5" s="7">
        <f>'Double Exponen'!$E$18</f>
        <v>8197.6452179999997</v>
      </c>
      <c r="W5" s="7">
        <f>'Konstanta a'!$E$18</f>
        <v>19503.850422000003</v>
      </c>
      <c r="X5" s="7">
        <f>'Konstanta b'!$E$18</f>
        <v>2422.7582580000008</v>
      </c>
      <c r="Y5" s="7">
        <f>Peramalan!$E$18</f>
        <v>20178.247800000001</v>
      </c>
      <c r="Z5" s="7">
        <f t="shared" si="4"/>
        <v>-7.0129126692441064</v>
      </c>
      <c r="AA5" s="7">
        <f t="shared" si="5"/>
        <v>7.0129126692441064</v>
      </c>
    </row>
    <row r="6" spans="1:27" x14ac:dyDescent="0.3">
      <c r="A6" s="3" t="s">
        <v>6</v>
      </c>
      <c r="B6" s="7">
        <f>kg!$F$3</f>
        <v>9095.66</v>
      </c>
      <c r="C6" s="7">
        <f>'Single Exponen'!$F$14</f>
        <v>11665.965864</v>
      </c>
      <c r="D6" s="7">
        <f>'Double Exponen'!$F$14</f>
        <v>12239.769481799998</v>
      </c>
      <c r="E6" s="7">
        <f>'Konstanta a'!$F$14</f>
        <v>11092.162246200001</v>
      </c>
      <c r="F6" s="7">
        <f>'Konstanta b'!$F$14</f>
        <v>-245.91583619999935</v>
      </c>
      <c r="G6" s="7">
        <f>Peramalan!$F$14</f>
        <v>13170.154380000002</v>
      </c>
      <c r="H6" s="7">
        <f t="shared" si="0"/>
        <v>-44.796027775884347</v>
      </c>
      <c r="I6" s="7">
        <f t="shared" si="1"/>
        <v>44.796027775884347</v>
      </c>
      <c r="J6" s="3" t="s">
        <v>6</v>
      </c>
      <c r="K6" s="7">
        <f>kg!$F$4</f>
        <v>201079.58</v>
      </c>
      <c r="L6" s="7">
        <f>'Single Exponen'!$F$15</f>
        <v>375081.66004199994</v>
      </c>
      <c r="M6" s="7">
        <f>'Double Exponen'!$F$15</f>
        <v>425322.92861039989</v>
      </c>
      <c r="N6" s="7">
        <f>'Konstanta a'!$F$15</f>
        <v>324840.3914736</v>
      </c>
      <c r="O6" s="7">
        <f>'Konstanta b'!$F$15</f>
        <v>-21531.972243599979</v>
      </c>
      <c r="P6" s="7">
        <f>Peramalan!$F$15</f>
        <v>453652.66464000009</v>
      </c>
      <c r="Q6" s="7">
        <f t="shared" si="2"/>
        <v>-125.60852008940944</v>
      </c>
      <c r="R6" s="7">
        <f t="shared" si="3"/>
        <v>125.60852008940944</v>
      </c>
      <c r="S6" s="3" t="s">
        <v>6</v>
      </c>
      <c r="T6" s="7">
        <f>kg!$F$7</f>
        <v>26851.599999999999</v>
      </c>
      <c r="U6" s="7">
        <f>'Single Exponen'!$F$18</f>
        <v>17751.003474000001</v>
      </c>
      <c r="V6" s="7">
        <f>'Double Exponen'!$F$18</f>
        <v>11063.652694799999</v>
      </c>
      <c r="W6" s="7">
        <f>'Konstanta a'!$F$18</f>
        <v>24438.354253200003</v>
      </c>
      <c r="X6" s="7">
        <f>'Konstanta b'!$F$18</f>
        <v>2866.0074768000013</v>
      </c>
      <c r="Y6" s="7">
        <f>Peramalan!$F$18</f>
        <v>21926.608680000005</v>
      </c>
      <c r="Z6" s="7">
        <f t="shared" si="4"/>
        <v>18.341519015626606</v>
      </c>
      <c r="AA6" s="7">
        <f t="shared" si="5"/>
        <v>18.341519015626606</v>
      </c>
    </row>
    <row r="7" spans="1:27" x14ac:dyDescent="0.3">
      <c r="A7" s="3" t="s">
        <v>7</v>
      </c>
      <c r="B7" s="7">
        <f>kg!$G$3</f>
        <v>8185.36</v>
      </c>
      <c r="C7" s="7">
        <f>'Single Exponen'!$G$14</f>
        <v>10621.784104799999</v>
      </c>
      <c r="D7" s="7">
        <f>'Double Exponen'!$G$14</f>
        <v>11754.373868699997</v>
      </c>
      <c r="E7" s="7">
        <f>'Konstanta a'!$G$14</f>
        <v>9489.1943409000014</v>
      </c>
      <c r="F7" s="7">
        <f>'Konstanta b'!$G$14</f>
        <v>-485.39561309999914</v>
      </c>
      <c r="G7" s="7">
        <f>Peramalan!$G$14</f>
        <v>10846.246410000002</v>
      </c>
      <c r="H7" s="7">
        <f t="shared" si="0"/>
        <v>-32.507872714211736</v>
      </c>
      <c r="I7" s="7">
        <f t="shared" si="1"/>
        <v>32.507872714211736</v>
      </c>
      <c r="J7" s="3" t="s">
        <v>7</v>
      </c>
      <c r="K7" s="7">
        <f>kg!$G$4</f>
        <v>378271.8</v>
      </c>
      <c r="L7" s="7">
        <f>'Single Exponen'!$G$15</f>
        <v>376038.70202939992</v>
      </c>
      <c r="M7" s="7">
        <f>'Double Exponen'!$G$15</f>
        <v>410537.66063609987</v>
      </c>
      <c r="N7" s="7">
        <f>'Konstanta a'!$G$15</f>
        <v>341539.74342269998</v>
      </c>
      <c r="O7" s="7">
        <f>'Konstanta b'!$G$15</f>
        <v>-14785.267974299981</v>
      </c>
      <c r="P7" s="7">
        <f>Peramalan!$G$15</f>
        <v>303308.41923</v>
      </c>
      <c r="Q7" s="7">
        <f t="shared" si="2"/>
        <v>19.817332608457725</v>
      </c>
      <c r="R7" s="7">
        <f t="shared" si="3"/>
        <v>19.817332608457725</v>
      </c>
      <c r="S7" s="3" t="s">
        <v>7</v>
      </c>
      <c r="T7" s="7">
        <f>kg!$G$7</f>
        <v>17468.29</v>
      </c>
      <c r="U7" s="7">
        <f>'Single Exponen'!$G$18</f>
        <v>17666.189431800001</v>
      </c>
      <c r="V7" s="7">
        <f>'Double Exponen'!$G$18</f>
        <v>13044.413715899998</v>
      </c>
      <c r="W7" s="7">
        <f>'Konstanta a'!$G$18</f>
        <v>22287.965147700004</v>
      </c>
      <c r="X7" s="7">
        <f>'Konstanta b'!$G$18</f>
        <v>1980.7610211000017</v>
      </c>
      <c r="Y7" s="7">
        <f>Peramalan!$G$18</f>
        <v>27304.361730000004</v>
      </c>
      <c r="Z7" s="7">
        <f t="shared" si="4"/>
        <v>-56.308154547468604</v>
      </c>
      <c r="AA7" s="7">
        <f t="shared" si="5"/>
        <v>56.308154547468604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Exponen'!$H$14</f>
        <v>12914.868873359999</v>
      </c>
      <c r="D8" s="7">
        <f>'Double Exponen'!$H$14</f>
        <v>12102.522370097997</v>
      </c>
      <c r="E8" s="7">
        <f>'Konstanta a'!$H$14</f>
        <v>13727.215376622002</v>
      </c>
      <c r="F8" s="7">
        <f>'Konstanta b'!$H$14</f>
        <v>348.14850139800114</v>
      </c>
      <c r="G8" s="7">
        <f>Peramalan!$H$14</f>
        <v>9003.7987278000019</v>
      </c>
      <c r="H8" s="7">
        <f t="shared" si="0"/>
        <v>50.705712835196593</v>
      </c>
      <c r="I8" s="7">
        <f t="shared" si="1"/>
        <v>50.705712835196593</v>
      </c>
      <c r="J8" s="3" t="s">
        <v>8</v>
      </c>
      <c r="K8" s="7">
        <f>kg!$H$4</f>
        <v>463478.68</v>
      </c>
      <c r="L8" s="7">
        <f>'Single Exponen'!$H$15</f>
        <v>402270.69542057998</v>
      </c>
      <c r="M8" s="7">
        <f>'Double Exponen'!$H$15</f>
        <v>408057.57107144385</v>
      </c>
      <c r="N8" s="7">
        <f>'Konstanta a'!$H$15</f>
        <v>396483.81976971612</v>
      </c>
      <c r="O8" s="7">
        <f>'Konstanta b'!$H$15</f>
        <v>-2480.0895646559411</v>
      </c>
      <c r="P8" s="7">
        <f>Peramalan!$H$15</f>
        <v>326754.47544840002</v>
      </c>
      <c r="Q8" s="7">
        <f t="shared" si="2"/>
        <v>29.499567175689716</v>
      </c>
      <c r="R8" s="7">
        <f t="shared" si="3"/>
        <v>29.499567175689716</v>
      </c>
      <c r="S8" s="3" t="s">
        <v>8</v>
      </c>
      <c r="T8" s="7">
        <f>kg!$H$7</f>
        <v>53358.239999999998</v>
      </c>
      <c r="U8" s="7">
        <f>'Single Exponen'!$H$18</f>
        <v>28373.804602260003</v>
      </c>
      <c r="V8" s="7">
        <f>'Double Exponen'!$H$18</f>
        <v>17643.230981807996</v>
      </c>
      <c r="W8" s="7">
        <f>'Konstanta a'!$H$18</f>
        <v>39104.37822271201</v>
      </c>
      <c r="X8" s="7">
        <f>'Konstanta b'!$H$18</f>
        <v>4598.8172659080037</v>
      </c>
      <c r="Y8" s="7">
        <f>Peramalan!$H$18</f>
        <v>24268.726168800007</v>
      </c>
      <c r="Z8" s="7">
        <f t="shared" si="4"/>
        <v>54.517378817592167</v>
      </c>
      <c r="AA8" s="7">
        <f t="shared" si="5"/>
        <v>54.517378817592167</v>
      </c>
    </row>
    <row r="9" spans="1:27" x14ac:dyDescent="0.3">
      <c r="A9" s="3" t="s">
        <v>9</v>
      </c>
      <c r="B9" s="7">
        <f>kg!$I$3</f>
        <v>11044.68</v>
      </c>
      <c r="C9" s="7">
        <f>'Single Exponen'!$I$14</f>
        <v>12353.812211351998</v>
      </c>
      <c r="D9" s="7">
        <f>'Double Exponen'!$I$14</f>
        <v>12177.909322474196</v>
      </c>
      <c r="E9" s="7">
        <f>'Konstanta a'!$I$14</f>
        <v>12529.715100229801</v>
      </c>
      <c r="F9" s="7">
        <f>'Konstanta b'!$I$14</f>
        <v>75.386952376201293</v>
      </c>
      <c r="G9" s="7">
        <f>Peramalan!$I$14</f>
        <v>14075.363878020004</v>
      </c>
      <c r="H9" s="7">
        <f t="shared" si="0"/>
        <v>-27.440214456371788</v>
      </c>
      <c r="I9" s="7">
        <f t="shared" si="1"/>
        <v>27.440214456371788</v>
      </c>
      <c r="J9" s="3" t="s">
        <v>9</v>
      </c>
      <c r="K9" s="7">
        <f>kg!$I$4</f>
        <v>511860.86</v>
      </c>
      <c r="L9" s="7">
        <f>'Single Exponen'!$I$15</f>
        <v>435147.744794406</v>
      </c>
      <c r="M9" s="7">
        <f>'Double Exponen'!$I$15</f>
        <v>416184.62318833242</v>
      </c>
      <c r="N9" s="7">
        <f>'Konstanta a'!$I$15</f>
        <v>454110.86640047957</v>
      </c>
      <c r="O9" s="7">
        <f>'Konstanta b'!$I$15</f>
        <v>8127.0521168886771</v>
      </c>
      <c r="P9" s="7">
        <f>Peramalan!$I$15</f>
        <v>394003.73020506016</v>
      </c>
      <c r="Q9" s="7">
        <f t="shared" si="2"/>
        <v>23.025227948653825</v>
      </c>
      <c r="R9" s="7">
        <f t="shared" si="3"/>
        <v>23.025227948653825</v>
      </c>
      <c r="S9" s="3" t="s">
        <v>9</v>
      </c>
      <c r="T9" s="7">
        <f>kg!$I$7</f>
        <v>31973.26</v>
      </c>
      <c r="U9" s="7">
        <f>'Single Exponen'!$I$18</f>
        <v>29453.641221582002</v>
      </c>
      <c r="V9" s="7">
        <f>'Double Exponen'!$I$18</f>
        <v>21186.354053740197</v>
      </c>
      <c r="W9" s="7">
        <f>'Konstanta a'!$I$18</f>
        <v>37720.928389423803</v>
      </c>
      <c r="X9" s="7">
        <f>'Konstanta b'!$I$18</f>
        <v>3543.1230719322029</v>
      </c>
      <c r="Y9" s="7">
        <f>Peramalan!$I$18</f>
        <v>43703.195488620011</v>
      </c>
      <c r="Z9" s="7">
        <f t="shared" si="4"/>
        <v>-36.686704729577194</v>
      </c>
      <c r="AA9" s="7">
        <f t="shared" si="5"/>
        <v>36.686704729577194</v>
      </c>
    </row>
    <row r="10" spans="1:27" x14ac:dyDescent="0.3">
      <c r="A10" s="3" t="s">
        <v>10</v>
      </c>
      <c r="B10" s="7">
        <f>kg!$J$3</f>
        <v>10889.55</v>
      </c>
      <c r="C10" s="7">
        <f>'Single Exponen'!$J$14</f>
        <v>11914.533547946397</v>
      </c>
      <c r="D10" s="7">
        <f>'Double Exponen'!$J$14</f>
        <v>12098.896590115855</v>
      </c>
      <c r="E10" s="7">
        <f>'Konstanta a'!$J$14</f>
        <v>11730.17050577694</v>
      </c>
      <c r="F10" s="7">
        <f>'Konstanta b'!$J$14</f>
        <v>-79.012732358339122</v>
      </c>
      <c r="G10" s="7">
        <f>Peramalan!$J$14</f>
        <v>12605.102052606002</v>
      </c>
      <c r="H10" s="7">
        <f t="shared" si="0"/>
        <v>-15.754113371131066</v>
      </c>
      <c r="I10" s="7">
        <f t="shared" si="1"/>
        <v>15.754113371131066</v>
      </c>
      <c r="J10" s="3" t="s">
        <v>10</v>
      </c>
      <c r="K10" s="7">
        <f>kg!$J$4</f>
        <v>513170.2</v>
      </c>
      <c r="L10" s="7">
        <f>'Single Exponen'!$J$15</f>
        <v>458554.48135608423</v>
      </c>
      <c r="M10" s="7">
        <f>'Double Exponen'!$J$15</f>
        <v>428895.58063865791</v>
      </c>
      <c r="N10" s="7">
        <f>'Konstanta a'!$J$15</f>
        <v>488213.38207351055</v>
      </c>
      <c r="O10" s="7">
        <f>'Konstanta b'!$J$15</f>
        <v>12710.95745032557</v>
      </c>
      <c r="P10" s="7">
        <f>Peramalan!$J$15</f>
        <v>462237.91851736826</v>
      </c>
      <c r="Q10" s="7">
        <f t="shared" si="2"/>
        <v>9.9250271123755329</v>
      </c>
      <c r="R10" s="7">
        <f t="shared" si="3"/>
        <v>9.9250271123755329</v>
      </c>
      <c r="S10" s="3" t="s">
        <v>10</v>
      </c>
      <c r="T10" s="7">
        <f>kg!$J$7</f>
        <v>28522.799999999999</v>
      </c>
      <c r="U10" s="7">
        <f>'Single Exponen'!$J$18</f>
        <v>29174.388855107401</v>
      </c>
      <c r="V10" s="7">
        <f>'Double Exponen'!$J$18</f>
        <v>23582.764494150357</v>
      </c>
      <c r="W10" s="7">
        <f>'Konstanta a'!$J$18</f>
        <v>34766.013216064443</v>
      </c>
      <c r="X10" s="7">
        <f>'Konstanta b'!$J$18</f>
        <v>2396.4104404101627</v>
      </c>
      <c r="Y10" s="7">
        <f>Peramalan!$J$18</f>
        <v>41264.051461356008</v>
      </c>
      <c r="Z10" s="7">
        <f t="shared" si="4"/>
        <v>-44.670409151121234</v>
      </c>
      <c r="AA10" s="7">
        <f t="shared" si="5"/>
        <v>44.670409151121234</v>
      </c>
    </row>
    <row r="11" spans="1:27" x14ac:dyDescent="0.3">
      <c r="A11" s="3" t="s">
        <v>11</v>
      </c>
      <c r="B11" s="7">
        <f>kg!$K$3</f>
        <v>8406.34</v>
      </c>
      <c r="C11" s="7">
        <f>'Single Exponen'!$K$14</f>
        <v>10862.075483562478</v>
      </c>
      <c r="D11" s="7">
        <f>'Double Exponen'!$K$14</f>
        <v>11727.850258149841</v>
      </c>
      <c r="E11" s="7">
        <f>'Konstanta a'!$K$14</f>
        <v>9996.3007089751136</v>
      </c>
      <c r="F11" s="7">
        <f>'Konstanta b'!$K$14</f>
        <v>-371.04633196601321</v>
      </c>
      <c r="G11" s="7">
        <f>Peramalan!$K$14</f>
        <v>11651.157773418601</v>
      </c>
      <c r="H11" s="7">
        <f t="shared" si="0"/>
        <v>-38.599649471929531</v>
      </c>
      <c r="I11" s="7">
        <f t="shared" si="1"/>
        <v>38.599649471929531</v>
      </c>
      <c r="J11" s="3" t="s">
        <v>11</v>
      </c>
      <c r="K11" s="7">
        <f>kg!$K$4</f>
        <v>525723.46</v>
      </c>
      <c r="L11" s="7">
        <f>'Single Exponen'!$K$15</f>
        <v>478705.17494925892</v>
      </c>
      <c r="M11" s="7">
        <f>'Double Exponen'!$K$15</f>
        <v>443838.45893183816</v>
      </c>
      <c r="N11" s="7">
        <f>'Konstanta a'!$K$15</f>
        <v>513571.89096667967</v>
      </c>
      <c r="O11" s="7">
        <f>'Konstanta b'!$K$15</f>
        <v>14942.878293180325</v>
      </c>
      <c r="P11" s="7">
        <f>Peramalan!$K$15</f>
        <v>500924.3395238361</v>
      </c>
      <c r="Q11" s="7">
        <f t="shared" si="2"/>
        <v>4.7171416843684071</v>
      </c>
      <c r="R11" s="7">
        <f t="shared" si="3"/>
        <v>4.7171416843684071</v>
      </c>
      <c r="S11" s="3" t="s">
        <v>11</v>
      </c>
      <c r="T11" s="7">
        <f>kg!$K$7</f>
        <v>51078.26</v>
      </c>
      <c r="U11" s="7">
        <f>'Single Exponen'!$K$18</f>
        <v>35745.550198575183</v>
      </c>
      <c r="V11" s="7">
        <f>'Double Exponen'!$K$18</f>
        <v>27231.600205477804</v>
      </c>
      <c r="W11" s="7">
        <f>'Konstanta a'!$K$18</f>
        <v>44259.50019167256</v>
      </c>
      <c r="X11" s="7">
        <f>'Konstanta b'!$K$18</f>
        <v>3648.8357113274492</v>
      </c>
      <c r="Y11" s="7">
        <f>Peramalan!$K$18</f>
        <v>37162.423656474602</v>
      </c>
      <c r="Z11" s="7">
        <f t="shared" si="4"/>
        <v>27.244147203772012</v>
      </c>
      <c r="AA11" s="7">
        <f t="shared" si="5"/>
        <v>27.244147203772012</v>
      </c>
    </row>
    <row r="12" spans="1:27" x14ac:dyDescent="0.3">
      <c r="A12" s="3" t="s">
        <v>12</v>
      </c>
      <c r="B12" s="7">
        <f>kg!$L$3</f>
        <v>18149.95</v>
      </c>
      <c r="C12" s="7">
        <f>'Single Exponen'!$L$14</f>
        <v>13048.437838493734</v>
      </c>
      <c r="D12" s="7">
        <f>'Double Exponen'!$L$14</f>
        <v>12124.026532253009</v>
      </c>
      <c r="E12" s="7">
        <f>'Konstanta a'!$L$14</f>
        <v>13972.849144734459</v>
      </c>
      <c r="F12" s="7">
        <f>'Konstanta b'!$L$14</f>
        <v>396.17627410316794</v>
      </c>
      <c r="G12" s="7">
        <f>Peramalan!$L$14</f>
        <v>9625.2543770090997</v>
      </c>
      <c r="H12" s="7">
        <f t="shared" si="0"/>
        <v>46.968149350223563</v>
      </c>
      <c r="I12" s="7">
        <f t="shared" si="1"/>
        <v>46.968149350223563</v>
      </c>
      <c r="J12" s="3" t="s">
        <v>12</v>
      </c>
      <c r="K12" s="7">
        <f>kg!$L$4</f>
        <v>480711.96</v>
      </c>
      <c r="L12" s="7">
        <f>'Single Exponen'!$L$15</f>
        <v>479307.21046448126</v>
      </c>
      <c r="M12" s="7">
        <f>'Double Exponen'!$L$15</f>
        <v>454479.08439163107</v>
      </c>
      <c r="N12" s="7">
        <f>'Konstanta a'!$L$15</f>
        <v>504135.33653733146</v>
      </c>
      <c r="O12" s="7">
        <f>'Konstanta b'!$L$15</f>
        <v>10640.625459792942</v>
      </c>
      <c r="P12" s="7">
        <f>Peramalan!$L$15</f>
        <v>528514.76925986004</v>
      </c>
      <c r="Q12" s="7">
        <f t="shared" si="2"/>
        <v>-9.9441689072724593</v>
      </c>
      <c r="R12" s="7">
        <f t="shared" si="3"/>
        <v>9.9441689072724593</v>
      </c>
      <c r="S12" s="3" t="s">
        <v>12</v>
      </c>
      <c r="T12" s="7">
        <f>kg!$L$7</f>
        <v>50149.88</v>
      </c>
      <c r="U12" s="7">
        <f>'Single Exponen'!$L$18</f>
        <v>40066.849139002632</v>
      </c>
      <c r="V12" s="7">
        <f>'Double Exponen'!$L$18</f>
        <v>31082.174885535249</v>
      </c>
      <c r="W12" s="7">
        <f>'Konstanta a'!$L$18</f>
        <v>49051.523392470015</v>
      </c>
      <c r="X12" s="7">
        <f>'Konstanta b'!$L$18</f>
        <v>3850.5746800574507</v>
      </c>
      <c r="Y12" s="7">
        <f>Peramalan!$L$18</f>
        <v>47908.335903000007</v>
      </c>
      <c r="Z12" s="7">
        <f t="shared" si="4"/>
        <v>4.4696898517005241</v>
      </c>
      <c r="AA12" s="7">
        <f t="shared" si="5"/>
        <v>4.4696898517005241</v>
      </c>
    </row>
    <row r="13" spans="1:27" x14ac:dyDescent="0.3">
      <c r="A13" s="3" t="s">
        <v>13</v>
      </c>
      <c r="B13" s="7">
        <f>kg!$M$3</f>
        <v>11905.39</v>
      </c>
      <c r="C13" s="7">
        <f>'Single Exponen'!$M$14</f>
        <v>12705.523486945613</v>
      </c>
      <c r="D13" s="7">
        <f>'Double Exponen'!$M$14</f>
        <v>12298.475618660788</v>
      </c>
      <c r="E13" s="7">
        <f>'Konstanta a'!$M$14</f>
        <v>13112.571355230437</v>
      </c>
      <c r="F13" s="7">
        <f>'Konstanta b'!$M$14</f>
        <v>174.44908640778186</v>
      </c>
      <c r="G13" s="7">
        <f>Peramalan!$M$14</f>
        <v>14369.025418837626</v>
      </c>
      <c r="H13" s="7">
        <f t="shared" si="0"/>
        <v>-20.69344573203924</v>
      </c>
      <c r="I13" s="7">
        <f t="shared" si="1"/>
        <v>20.69344573203924</v>
      </c>
      <c r="J13" s="3" t="s">
        <v>13</v>
      </c>
      <c r="K13" s="7">
        <f>kg!$M$4</f>
        <v>428532.64</v>
      </c>
      <c r="L13" s="7">
        <f>'Single Exponen'!$M$15</f>
        <v>464074.83932513685</v>
      </c>
      <c r="M13" s="7">
        <f>'Double Exponen'!$M$15</f>
        <v>457357.81087168277</v>
      </c>
      <c r="N13" s="7">
        <f>'Konstanta a'!$M$15</f>
        <v>470791.86777859094</v>
      </c>
      <c r="O13" s="7">
        <f>'Konstanta b'!$M$15</f>
        <v>2878.726480051751</v>
      </c>
      <c r="P13" s="7">
        <f>Peramalan!$M$15</f>
        <v>514775.96199712442</v>
      </c>
      <c r="Q13" s="7">
        <f t="shared" si="2"/>
        <v>-20.125263269823368</v>
      </c>
      <c r="R13" s="7">
        <f t="shared" si="3"/>
        <v>20.125263269823368</v>
      </c>
      <c r="S13" s="3" t="s">
        <v>13</v>
      </c>
      <c r="T13" s="7">
        <f>kg!$M$7</f>
        <v>42897.42</v>
      </c>
      <c r="U13" s="7">
        <f>'Single Exponen'!$M$18</f>
        <v>40916.020397301843</v>
      </c>
      <c r="V13" s="7">
        <f>'Double Exponen'!$M$18</f>
        <v>34032.328539065224</v>
      </c>
      <c r="W13" s="7">
        <f>'Konstanta a'!$M$18</f>
        <v>47799.712255538463</v>
      </c>
      <c r="X13" s="7">
        <f>'Konstanta b'!$M$18</f>
        <v>2950.1536535299806</v>
      </c>
      <c r="Y13" s="7">
        <f>Peramalan!$M$18</f>
        <v>52902.098072527464</v>
      </c>
      <c r="Z13" s="7">
        <f t="shared" si="4"/>
        <v>-23.32233050968442</v>
      </c>
      <c r="AA13" s="7">
        <f t="shared" si="5"/>
        <v>23.32233050968442</v>
      </c>
    </row>
    <row r="14" spans="1:27" x14ac:dyDescent="0.3">
      <c r="H14" s="6">
        <f>(SUM(H3:H13)/12)</f>
        <v>-18.197177762795427</v>
      </c>
      <c r="I14" s="6">
        <f>(SUM(I3:I13)/12)</f>
        <v>44.873483350687074</v>
      </c>
      <c r="Q14" s="6">
        <f>(SUM(Q3:Q13)/12)</f>
        <v>-5.9506980439247057</v>
      </c>
      <c r="R14" s="6">
        <f>(SUM(R3:R13)/12)</f>
        <v>24.041771006143133</v>
      </c>
      <c r="Z14" s="6">
        <f>(SUM(Z3:Z13)/12)</f>
        <v>4.332692956231881</v>
      </c>
      <c r="AA14" s="6">
        <f>(SUM(AA3:AA13)/12)</f>
        <v>32.332778224081146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Exponen'!$B$16</f>
        <v>23458.3</v>
      </c>
      <c r="M16" s="7">
        <f>'Double Exponen'!$B$16</f>
        <v>23458.3</v>
      </c>
      <c r="N16" s="7">
        <f>'Konstanta a'!$B$16</f>
        <v>23458.3</v>
      </c>
      <c r="O16" s="7">
        <f>'Konstanta b'!$B$16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Exponen'!$C$16</f>
        <v>29085.79</v>
      </c>
      <c r="M17" s="7">
        <f>'Double Exponen'!$C$16</f>
        <v>25146.546999999999</v>
      </c>
      <c r="N17" s="7">
        <f>'Konstanta a'!$C$16</f>
        <v>33025.033000000003</v>
      </c>
      <c r="O17" s="7">
        <f>'Konstanta b'!$C$16</f>
        <v>1688.2470000000012</v>
      </c>
      <c r="P17" s="7">
        <f>Peramalan!$C$16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Exponen'!$D$16</f>
        <v>28985.623</v>
      </c>
      <c r="M18" s="7">
        <f>'Double Exponen'!$D$16</f>
        <v>26298.269799999995</v>
      </c>
      <c r="N18" s="7">
        <f>'Konstanta a'!$D$16</f>
        <v>31672.976200000005</v>
      </c>
      <c r="O18" s="7">
        <f>'Konstanta b'!$D$16</f>
        <v>1151.7228000000023</v>
      </c>
      <c r="P18" s="7">
        <f>Peramalan!$D$16</f>
        <v>34713.280000000006</v>
      </c>
      <c r="Q18" s="7">
        <f t="shared" ref="Q18:Q27" si="6">((K18-P18)/K18)*100</f>
        <v>-20.733864544604025</v>
      </c>
      <c r="R18" s="7">
        <f t="shared" ref="R18:R27" si="7">ABS((K18-P18)/K18)*100</f>
        <v>20.733864544604025</v>
      </c>
    </row>
    <row r="19" spans="10:18" x14ac:dyDescent="0.3">
      <c r="J19" s="3" t="s">
        <v>5</v>
      </c>
      <c r="K19" s="7">
        <f>kg!$E$5</f>
        <v>39376.9</v>
      </c>
      <c r="L19" s="7">
        <f>'Single Exponen'!$E$16</f>
        <v>32103.006099999999</v>
      </c>
      <c r="M19" s="7">
        <f>'Double Exponen'!$E$16</f>
        <v>28039.690689999992</v>
      </c>
      <c r="N19" s="7">
        <f>'Konstanta a'!$E$16</f>
        <v>36166.321510000009</v>
      </c>
      <c r="O19" s="7">
        <f>'Konstanta b'!$E$16</f>
        <v>1741.4208900000031</v>
      </c>
      <c r="P19" s="7">
        <f>Peramalan!$E$16</f>
        <v>32824.699000000008</v>
      </c>
      <c r="Q19" s="7">
        <f t="shared" si="6"/>
        <v>16.639707544270863</v>
      </c>
      <c r="R19" s="7">
        <f t="shared" si="7"/>
        <v>16.639707544270863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Exponen'!$F$16</f>
        <v>29630.584269999996</v>
      </c>
      <c r="M20" s="7">
        <f>'Double Exponen'!$F$16</f>
        <v>28516.958763999988</v>
      </c>
      <c r="N20" s="7">
        <f>'Konstanta a'!$F$16</f>
        <v>30744.209776000003</v>
      </c>
      <c r="O20" s="7">
        <f>'Konstanta b'!$F$16</f>
        <v>477.26807400000337</v>
      </c>
      <c r="P20" s="7">
        <f>Peramalan!$F$16</f>
        <v>37907.74240000001</v>
      </c>
      <c r="Q20" s="7">
        <f t="shared" si="6"/>
        <v>-58.865048446038884</v>
      </c>
      <c r="R20" s="7">
        <f t="shared" si="7"/>
        <v>58.865048446038884</v>
      </c>
    </row>
    <row r="21" spans="10:18" x14ac:dyDescent="0.3">
      <c r="J21" s="3" t="s">
        <v>7</v>
      </c>
      <c r="K21" s="7">
        <f>kg!$G$5</f>
        <v>57216.9</v>
      </c>
      <c r="L21" s="7">
        <f>'Single Exponen'!$G$16</f>
        <v>37906.478988999996</v>
      </c>
      <c r="M21" s="7">
        <f>'Double Exponen'!$G$16</f>
        <v>31333.814831499985</v>
      </c>
      <c r="N21" s="7">
        <f>'Konstanta a'!$G$16</f>
        <v>44479.143146500006</v>
      </c>
      <c r="O21" s="7">
        <f>'Konstanta b'!$G$16</f>
        <v>2816.8560675000049</v>
      </c>
      <c r="P21" s="7">
        <f>Peramalan!$G$16</f>
        <v>31221.477850000007</v>
      </c>
      <c r="Q21" s="7">
        <f t="shared" si="6"/>
        <v>45.433118798816423</v>
      </c>
      <c r="R21" s="7">
        <f t="shared" si="7"/>
        <v>45.433118798816423</v>
      </c>
    </row>
    <row r="22" spans="10:18" x14ac:dyDescent="0.3">
      <c r="J22" s="3" t="s">
        <v>8</v>
      </c>
      <c r="K22" s="7">
        <f>kg!$H$5</f>
        <v>83736.7</v>
      </c>
      <c r="L22" s="7">
        <f>'Single Exponen'!$H$16</f>
        <v>51655.545292299998</v>
      </c>
      <c r="M22" s="7">
        <f>'Double Exponen'!$H$16</f>
        <v>37430.333969739986</v>
      </c>
      <c r="N22" s="7">
        <f>'Konstanta a'!$H$16</f>
        <v>65880.756614860002</v>
      </c>
      <c r="O22" s="7">
        <f>'Konstanta b'!$H$16</f>
        <v>6096.5191382400062</v>
      </c>
      <c r="P22" s="7">
        <f>Peramalan!$H$16</f>
        <v>47295.99921400001</v>
      </c>
      <c r="Q22" s="7">
        <f t="shared" si="6"/>
        <v>43.51819546984774</v>
      </c>
      <c r="R22" s="7">
        <f t="shared" si="7"/>
        <v>43.51819546984774</v>
      </c>
    </row>
    <row r="23" spans="10:18" x14ac:dyDescent="0.3">
      <c r="J23" s="3" t="s">
        <v>9</v>
      </c>
      <c r="K23" s="7">
        <f>kg!$I$5</f>
        <v>54053.2</v>
      </c>
      <c r="L23" s="7">
        <f>'Single Exponen'!$I$16</f>
        <v>52374.841704609993</v>
      </c>
      <c r="M23" s="7">
        <f>'Double Exponen'!$I$16</f>
        <v>41913.686290200989</v>
      </c>
      <c r="N23" s="7">
        <f>'Konstanta a'!$I$16</f>
        <v>62835.997119018997</v>
      </c>
      <c r="O23" s="7">
        <f>'Konstanta b'!$I$16</f>
        <v>4483.3523204610028</v>
      </c>
      <c r="P23" s="7">
        <f>Peramalan!$I$16</f>
        <v>71977.27575310001</v>
      </c>
      <c r="Q23" s="7">
        <f t="shared" si="6"/>
        <v>-33.160064072247373</v>
      </c>
      <c r="R23" s="7">
        <f t="shared" si="7"/>
        <v>33.160064072247373</v>
      </c>
    </row>
    <row r="24" spans="10:18" x14ac:dyDescent="0.3">
      <c r="J24" s="3" t="s">
        <v>10</v>
      </c>
      <c r="K24" s="7">
        <f>kg!$J$5</f>
        <v>11264.5</v>
      </c>
      <c r="L24" s="7">
        <f>'Single Exponen'!$J$16</f>
        <v>40041.739193226989</v>
      </c>
      <c r="M24" s="7">
        <f>'Double Exponen'!$J$16</f>
        <v>41352.102161108785</v>
      </c>
      <c r="N24" s="7">
        <f>'Konstanta a'!$J$16</f>
        <v>38731.376225345193</v>
      </c>
      <c r="O24" s="7">
        <f>'Konstanta b'!$J$16</f>
        <v>-561.5841290921984</v>
      </c>
      <c r="P24" s="7">
        <f>Peramalan!$J$16</f>
        <v>67319.349439479993</v>
      </c>
      <c r="Q24" s="7">
        <f t="shared" si="6"/>
        <v>-497.62394637560476</v>
      </c>
      <c r="R24" s="7">
        <f t="shared" si="7"/>
        <v>497.62394637560476</v>
      </c>
    </row>
    <row r="25" spans="10:18" x14ac:dyDescent="0.3">
      <c r="J25" s="3" t="s">
        <v>11</v>
      </c>
      <c r="K25" s="7">
        <f>kg!$K$5</f>
        <v>24215</v>
      </c>
      <c r="L25" s="7">
        <f>'Single Exponen'!$K$16</f>
        <v>35293.717435258892</v>
      </c>
      <c r="M25" s="7">
        <f>'Double Exponen'!$K$16</f>
        <v>39534.586743353815</v>
      </c>
      <c r="N25" s="7">
        <f>'Konstanta a'!$K$16</f>
        <v>31052.848127163968</v>
      </c>
      <c r="O25" s="7">
        <f>'Konstanta b'!$K$16</f>
        <v>-1817.5154177549675</v>
      </c>
      <c r="P25" s="7">
        <f>Peramalan!$K$16</f>
        <v>38169.792096252997</v>
      </c>
      <c r="Q25" s="7">
        <f t="shared" si="6"/>
        <v>-57.628709875089811</v>
      </c>
      <c r="R25" s="7">
        <f t="shared" si="7"/>
        <v>57.628709875089811</v>
      </c>
    </row>
    <row r="26" spans="10:18" x14ac:dyDescent="0.3">
      <c r="J26" s="3" t="s">
        <v>12</v>
      </c>
      <c r="K26" s="7">
        <f>kg!$L$5</f>
        <v>26860.6</v>
      </c>
      <c r="L26" s="7">
        <f>'Single Exponen'!$L$16</f>
        <v>32763.782204681222</v>
      </c>
      <c r="M26" s="7">
        <f>'Double Exponen'!$L$16</f>
        <v>37503.345381752035</v>
      </c>
      <c r="N26" s="7">
        <f>'Konstanta a'!$L$16</f>
        <v>28024.219027610408</v>
      </c>
      <c r="O26" s="7">
        <f>'Konstanta b'!$L$16</f>
        <v>-2031.2413616017775</v>
      </c>
      <c r="P26" s="7">
        <f>Peramalan!$L$16</f>
        <v>29235.332709409002</v>
      </c>
      <c r="Q26" s="7">
        <f t="shared" si="6"/>
        <v>-8.8409518380416046</v>
      </c>
      <c r="R26" s="7">
        <f t="shared" si="7"/>
        <v>8.8409518380416046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Exponen'!$M$16</f>
        <v>33090.457543276854</v>
      </c>
      <c r="M27" s="7">
        <f>'Double Exponen'!$M$16</f>
        <v>36179.479030209477</v>
      </c>
      <c r="N27" s="7">
        <f>'Konstanta a'!$M$16</f>
        <v>30001.436056344231</v>
      </c>
      <c r="O27" s="7">
        <f>'Konstanta b'!$M$16</f>
        <v>-1323.8663515425528</v>
      </c>
      <c r="P27" s="7">
        <f>Peramalan!$M$16</f>
        <v>25992.977666008632</v>
      </c>
      <c r="Q27" s="7">
        <f t="shared" si="6"/>
        <v>23.217416436477343</v>
      </c>
      <c r="R27" s="7">
        <f t="shared" si="7"/>
        <v>23.217416436477343</v>
      </c>
    </row>
    <row r="28" spans="10:18" x14ac:dyDescent="0.3">
      <c r="Q28" s="6">
        <f>(SUM(Q17:Q27)/12)</f>
        <v>-41.967556466950626</v>
      </c>
      <c r="R28" s="6">
        <f>(SUM(R17:R27)/12)</f>
        <v>70.841207724987129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Exponen'!$B$17</f>
        <v>4698.6499999999996</v>
      </c>
      <c r="M30" s="7">
        <f>'Double Exponen'!$B$17</f>
        <v>4698.6499999999996</v>
      </c>
      <c r="N30" s="7">
        <f>'Konstanta a'!$B$17</f>
        <v>4698.6499999999996</v>
      </c>
      <c r="O30" s="7">
        <f>'Konstanta b'!$B$17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Exponen'!$C$17</f>
        <v>5882.5550000000003</v>
      </c>
      <c r="M31" s="7">
        <f>'Double Exponen'!$C$17</f>
        <v>5053.8214999999991</v>
      </c>
      <c r="N31" s="7">
        <f>'Konstanta a'!$C$17</f>
        <v>6711.2885000000015</v>
      </c>
      <c r="O31" s="7">
        <f>'Konstanta b'!$C$17</f>
        <v>355.17150000000061</v>
      </c>
      <c r="P31" s="7">
        <f>Peramalan!$C$17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Exponen'!$D$17</f>
        <v>6514.6234999999997</v>
      </c>
      <c r="M32" s="7">
        <f>'Double Exponen'!$D$17</f>
        <v>5492.0620999999992</v>
      </c>
      <c r="N32" s="7">
        <f>'Konstanta a'!$D$17</f>
        <v>7537.1849000000002</v>
      </c>
      <c r="O32" s="7">
        <f>'Konstanta b'!$D$17</f>
        <v>438.24060000000031</v>
      </c>
      <c r="P32" s="7">
        <f>Peramalan!$D$17</f>
        <v>7066.4600000000019</v>
      </c>
      <c r="Q32" s="7">
        <f t="shared" ref="Q32:Q41" si="8">((K32-P32)/K32)*100</f>
        <v>11.552610004443334</v>
      </c>
      <c r="R32" s="7">
        <f t="shared" ref="R32:R41" si="9">ABS((K32-P32)/K32)*100</f>
        <v>11.552610004443334</v>
      </c>
    </row>
    <row r="33" spans="10:18" x14ac:dyDescent="0.3">
      <c r="J33" s="3" t="s">
        <v>5</v>
      </c>
      <c r="K33" s="7">
        <f>kg!$E$6</f>
        <v>6543.56</v>
      </c>
      <c r="L33" s="7">
        <f>'Single Exponen'!$E$17</f>
        <v>6523.3044499999996</v>
      </c>
      <c r="M33" s="7">
        <f>'Double Exponen'!$E$17</f>
        <v>5801.434804999999</v>
      </c>
      <c r="N33" s="7">
        <f>'Konstanta a'!$E$17</f>
        <v>7245.1740950000003</v>
      </c>
      <c r="O33" s="7">
        <f>'Konstanta b'!$E$17</f>
        <v>309.37270500000034</v>
      </c>
      <c r="P33" s="7">
        <f>Peramalan!$E$17</f>
        <v>7975.4255000000003</v>
      </c>
      <c r="Q33" s="7">
        <f t="shared" si="8"/>
        <v>-21.882056556369925</v>
      </c>
      <c r="R33" s="7">
        <f t="shared" si="9"/>
        <v>21.882056556369925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Exponen'!$F$17</f>
        <v>18275.593115000003</v>
      </c>
      <c r="M34" s="7">
        <f>'Double Exponen'!$F$17</f>
        <v>9543.6822979999997</v>
      </c>
      <c r="N34" s="7">
        <f>'Konstanta a'!$F$17</f>
        <v>27007.503932000007</v>
      </c>
      <c r="O34" s="7">
        <f>'Konstanta b'!$F$17</f>
        <v>3742.2474930000021</v>
      </c>
      <c r="P34" s="7">
        <f>Peramalan!$F$17</f>
        <v>7554.546800000001</v>
      </c>
      <c r="Q34" s="7">
        <f t="shared" si="8"/>
        <v>83.468394839116272</v>
      </c>
      <c r="R34" s="7">
        <f t="shared" si="9"/>
        <v>83.468394839116272</v>
      </c>
    </row>
    <row r="35" spans="10:18" x14ac:dyDescent="0.3">
      <c r="J35" s="3" t="s">
        <v>7</v>
      </c>
      <c r="K35" s="7">
        <f>kg!$G$6</f>
        <v>6943.02</v>
      </c>
      <c r="L35" s="7">
        <f>'Single Exponen'!$G$17</f>
        <v>14875.821180500003</v>
      </c>
      <c r="M35" s="7">
        <f>'Double Exponen'!$G$17</f>
        <v>11143.323962750001</v>
      </c>
      <c r="N35" s="7">
        <f>'Konstanta a'!$G$17</f>
        <v>18608.318398250005</v>
      </c>
      <c r="O35" s="7">
        <f>'Konstanta b'!$G$17</f>
        <v>1599.6416647500012</v>
      </c>
      <c r="P35" s="7">
        <f>Peramalan!$G$17</f>
        <v>30749.751425000009</v>
      </c>
      <c r="Q35" s="7">
        <f t="shared" si="8"/>
        <v>-342.88726555591091</v>
      </c>
      <c r="R35" s="7">
        <f t="shared" si="9"/>
        <v>342.88726555591091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Exponen'!$H$17</f>
        <v>13001.387826350001</v>
      </c>
      <c r="M36" s="7">
        <f>'Double Exponen'!$H$17</f>
        <v>11700.743121830001</v>
      </c>
      <c r="N36" s="7">
        <f>'Konstanta a'!$H$17</f>
        <v>14302.032530870001</v>
      </c>
      <c r="O36" s="7">
        <f>'Konstanta b'!$H$17</f>
        <v>557.41915908000021</v>
      </c>
      <c r="P36" s="7">
        <f>Peramalan!$H$17</f>
        <v>20207.960063000006</v>
      </c>
      <c r="Q36" s="7">
        <f t="shared" si="8"/>
        <v>-134.2215960318556</v>
      </c>
      <c r="R36" s="7">
        <f t="shared" si="9"/>
        <v>134.2215960318556</v>
      </c>
    </row>
    <row r="37" spans="10:18" x14ac:dyDescent="0.3">
      <c r="J37" s="3" t="s">
        <v>9</v>
      </c>
      <c r="K37" s="7">
        <f>kg!$I$6</f>
        <v>17194</v>
      </c>
      <c r="L37" s="7">
        <f>'Single Exponen'!$I$17</f>
        <v>14259.171478445001</v>
      </c>
      <c r="M37" s="7">
        <f>'Double Exponen'!$I$17</f>
        <v>12468.2716288145</v>
      </c>
      <c r="N37" s="7">
        <f>'Konstanta a'!$I$17</f>
        <v>16050.071328075503</v>
      </c>
      <c r="O37" s="7">
        <f>'Konstanta b'!$I$17</f>
        <v>767.52850698450072</v>
      </c>
      <c r="P37" s="7">
        <f>Peramalan!$I$17</f>
        <v>14859.451689950001</v>
      </c>
      <c r="Q37" s="7">
        <f t="shared" si="8"/>
        <v>13.57769169506804</v>
      </c>
      <c r="R37" s="7">
        <f t="shared" si="9"/>
        <v>13.57769169506804</v>
      </c>
    </row>
    <row r="38" spans="10:18" x14ac:dyDescent="0.3">
      <c r="J38" s="3" t="s">
        <v>10</v>
      </c>
      <c r="K38" s="7">
        <f>kg!$J$6</f>
        <v>17242</v>
      </c>
      <c r="L38" s="7">
        <f>'Single Exponen'!$J$17</f>
        <v>15154.0200349115</v>
      </c>
      <c r="M38" s="7">
        <f>'Double Exponen'!$J$17</f>
        <v>13273.996150643599</v>
      </c>
      <c r="N38" s="7">
        <f>'Konstanta a'!$J$17</f>
        <v>17034.043919179399</v>
      </c>
      <c r="O38" s="7">
        <f>'Konstanta b'!$J$17</f>
        <v>805.72452182910058</v>
      </c>
      <c r="P38" s="7">
        <f>Peramalan!$J$17</f>
        <v>16817.599835060002</v>
      </c>
      <c r="Q38" s="7">
        <f t="shared" si="8"/>
        <v>2.4614323450875646</v>
      </c>
      <c r="R38" s="7">
        <f t="shared" si="9"/>
        <v>2.4614323450875646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Exponen'!$K$17</f>
        <v>21157.974024438052</v>
      </c>
      <c r="M39" s="7">
        <f>'Double Exponen'!$K$17</f>
        <v>15639.189512781933</v>
      </c>
      <c r="N39" s="7">
        <f>'Konstanta a'!$K$17</f>
        <v>26676.75853609417</v>
      </c>
      <c r="O39" s="7">
        <f>'Konstanta b'!$K$17</f>
        <v>2365.1933621383369</v>
      </c>
      <c r="P39" s="7">
        <f>Peramalan!$K$17</f>
        <v>17839.768441008498</v>
      </c>
      <c r="Q39" s="7">
        <f t="shared" si="8"/>
        <v>49.271569982800735</v>
      </c>
      <c r="R39" s="7">
        <f t="shared" si="9"/>
        <v>49.271569982800735</v>
      </c>
    </row>
    <row r="40" spans="10:18" x14ac:dyDescent="0.3">
      <c r="J40" s="3" t="s">
        <v>12</v>
      </c>
      <c r="K40" s="7">
        <f>kg!$L$6</f>
        <v>6543.4</v>
      </c>
      <c r="L40" s="7">
        <f>'Single Exponen'!$L$17</f>
        <v>16773.601817106635</v>
      </c>
      <c r="M40" s="7">
        <f>'Double Exponen'!$L$17</f>
        <v>15979.513204079343</v>
      </c>
      <c r="N40" s="7">
        <f>'Konstanta a'!$L$17</f>
        <v>17567.690430133927</v>
      </c>
      <c r="O40" s="7">
        <f>'Konstanta b'!$L$17</f>
        <v>340.32369129741096</v>
      </c>
      <c r="P40" s="7">
        <f>Peramalan!$L$17</f>
        <v>29041.951898232506</v>
      </c>
      <c r="Q40" s="7">
        <f t="shared" si="8"/>
        <v>-343.83580246099137</v>
      </c>
      <c r="R40" s="7">
        <f t="shared" si="9"/>
        <v>343.83580246099137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Exponen'!$M$17</f>
        <v>14261.983271974645</v>
      </c>
      <c r="M41" s="7">
        <f>'Double Exponen'!$M$17</f>
        <v>15464.254224447934</v>
      </c>
      <c r="N41" s="7">
        <f>'Konstanta a'!$M$17</f>
        <v>13059.712319501356</v>
      </c>
      <c r="O41" s="7">
        <f>'Konstanta b'!$M$17</f>
        <v>-515.25897963140972</v>
      </c>
      <c r="P41" s="7">
        <f>Peramalan!$M$17</f>
        <v>17908.014121431337</v>
      </c>
      <c r="Q41" s="7">
        <f t="shared" si="8"/>
        <v>-113.15156651555947</v>
      </c>
      <c r="R41" s="7">
        <f t="shared" si="9"/>
        <v>113.15156651555947</v>
      </c>
    </row>
    <row r="42" spans="10:18" x14ac:dyDescent="0.3">
      <c r="Q42" s="6">
        <f>(SUM(Q31:Q41)/12)</f>
        <v>-62.499804853068355</v>
      </c>
      <c r="R42" s="6">
        <f>(SUM(R31:R41)/12)</f>
        <v>96.829909667046195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BB54-9576-4018-B5D6-370525EF544F}">
  <dimension ref="A1:AA42"/>
  <sheetViews>
    <sheetView workbookViewId="0">
      <selection activeCell="K29" sqref="K29:R29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5" width="9.44140625" style="1" bestFit="1" customWidth="1"/>
    <col min="6" max="6" width="8.44140625" style="1" bestFit="1" customWidth="1"/>
    <col min="7" max="7" width="9.44140625" style="1" bestFit="1" customWidth="1"/>
    <col min="8" max="8" width="7.109375" style="1" bestFit="1" customWidth="1"/>
    <col min="9" max="9" width="6.44140625" style="1" bestFit="1" customWidth="1"/>
    <col min="10" max="10" width="13.6640625" style="1" bestFit="1" customWidth="1"/>
    <col min="11" max="14" width="9.44140625" style="1" bestFit="1" customWidth="1"/>
    <col min="15" max="15" width="9.109375" style="1" bestFit="1" customWidth="1"/>
    <col min="16" max="16" width="9.44140625" style="1" bestFit="1" customWidth="1"/>
    <col min="17" max="17" width="7.109375" style="1" bestFit="1" customWidth="1"/>
    <col min="18" max="18" width="6.44140625" style="1" bestFit="1" customWidth="1"/>
    <col min="19" max="19" width="14.109375" style="1" bestFit="1" customWidth="1"/>
    <col min="20" max="23" width="8.44140625" style="1" bestFit="1" customWidth="1"/>
    <col min="24" max="24" width="8.109375" style="1" bestFit="1" customWidth="1"/>
    <col min="25" max="25" width="8.4414062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Exponen'!$B$20</f>
        <v>12588.09</v>
      </c>
      <c r="D2" s="7">
        <f>'Double Exponen'!$B$20</f>
        <v>12588.09</v>
      </c>
      <c r="E2" s="7">
        <f>'Konstanta a'!$B$20</f>
        <v>12588.09</v>
      </c>
      <c r="F2" s="7">
        <f>'Konstanta b'!$B$20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Exponen'!$B$21</f>
        <v>459915.78</v>
      </c>
      <c r="M2" s="7">
        <f>'Double Exponen'!$B$21</f>
        <v>459915.78</v>
      </c>
      <c r="N2" s="7">
        <f>'Konstanta a'!$B$21</f>
        <v>459915.78</v>
      </c>
      <c r="O2" s="7">
        <f>'Konstanta b'!$B$21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Exponen'!$B$24</f>
        <v>1033.08</v>
      </c>
      <c r="V2" s="7">
        <f>'Double Exponen'!$B$24</f>
        <v>1033.08</v>
      </c>
      <c r="W2" s="7">
        <f>'Konstanta a'!$B$24</f>
        <v>1033.08</v>
      </c>
      <c r="X2" s="7">
        <f>'Konstanta b'!$B$24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Exponen'!$C$20</f>
        <v>9468.753999999999</v>
      </c>
      <c r="D3" s="7">
        <f>'Double Exponen'!$C$20</f>
        <v>11340.355599999999</v>
      </c>
      <c r="E3" s="7">
        <f>'Konstanta a'!$C$20</f>
        <v>7597.152399999999</v>
      </c>
      <c r="F3" s="7">
        <f>'Konstanta b'!$C$20</f>
        <v>-1247.7344000000001</v>
      </c>
      <c r="G3" s="7">
        <f>Peramalan!$C$20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Exponen'!$C$21</f>
        <v>434837.772</v>
      </c>
      <c r="M3" s="7">
        <f>'Double Exponen'!$C$21</f>
        <v>449884.57680000004</v>
      </c>
      <c r="N3" s="7">
        <f>'Konstanta a'!$C$21</f>
        <v>419790.96719999996</v>
      </c>
      <c r="O3" s="7">
        <f>'Konstanta b'!$C$21</f>
        <v>-10031.203200000029</v>
      </c>
      <c r="P3" s="7">
        <f>Peramalan!$C$21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Exponen'!$C$24</f>
        <v>10811.023999999999</v>
      </c>
      <c r="V3" s="7">
        <f>'Double Exponen'!$C$24</f>
        <v>4944.2575999999999</v>
      </c>
      <c r="W3" s="7">
        <f>'Konstanta a'!$C$24</f>
        <v>16677.790399999998</v>
      </c>
      <c r="X3" s="7">
        <f>'Konstanta b'!$C$24</f>
        <v>3911.1776</v>
      </c>
      <c r="Y3" s="7">
        <f>Peramalan!$C$24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Exponen'!$D$20</f>
        <v>14091.588400000001</v>
      </c>
      <c r="D4" s="7">
        <f>'Double Exponen'!$D$20</f>
        <v>12440.848719999998</v>
      </c>
      <c r="E4" s="7">
        <f>'Konstanta a'!$D$20</f>
        <v>15742.328080000003</v>
      </c>
      <c r="F4" s="7">
        <f>'Konstanta b'!$D$20</f>
        <v>1100.4931200000017</v>
      </c>
      <c r="G4" s="7">
        <f>Peramalan!$D$20</f>
        <v>6349.4179999999988</v>
      </c>
      <c r="H4" s="7">
        <f t="shared" ref="H4:H13" si="0">((B4-G4)/B4)*100</f>
        <v>69.801834314348454</v>
      </c>
      <c r="I4" s="7">
        <f t="shared" ref="I4:I13" si="1">ABS((B4-G4)/B4)*100</f>
        <v>69.801834314348454</v>
      </c>
      <c r="J4" s="3" t="s">
        <v>4</v>
      </c>
      <c r="K4" s="7">
        <f>kg!$D$4</f>
        <v>389238.98</v>
      </c>
      <c r="L4" s="7">
        <f>'Single Exponen'!$D$21</f>
        <v>416598.25520000001</v>
      </c>
      <c r="M4" s="7">
        <f>'Double Exponen'!$D$21</f>
        <v>436570.04816000001</v>
      </c>
      <c r="N4" s="7">
        <f>'Konstanta a'!$D$21</f>
        <v>396626.46224000002</v>
      </c>
      <c r="O4" s="7">
        <f>'Konstanta b'!$D$21</f>
        <v>-13314.528639999995</v>
      </c>
      <c r="P4" s="7">
        <f>Peramalan!$D$21</f>
        <v>409759.76399999991</v>
      </c>
      <c r="Q4" s="7">
        <f t="shared" ref="Q4:Q13" si="2">((K4-P4)/K4)*100</f>
        <v>-5.2720269691385813</v>
      </c>
      <c r="R4" s="7">
        <f t="shared" ref="R4:R13" si="3">ABS((K4-P4)/K4)*100</f>
        <v>5.2720269691385813</v>
      </c>
      <c r="S4" s="3" t="s">
        <v>4</v>
      </c>
      <c r="T4" s="7">
        <f>kg!$D$7</f>
        <v>19497.02</v>
      </c>
      <c r="U4" s="7">
        <f>'Single Exponen'!$D$24</f>
        <v>14285.422399999999</v>
      </c>
      <c r="V4" s="7">
        <f>'Double Exponen'!$D$24</f>
        <v>8680.7235199999996</v>
      </c>
      <c r="W4" s="7">
        <f>'Konstanta a'!$D$24</f>
        <v>19890.121279999999</v>
      </c>
      <c r="X4" s="7">
        <f>'Konstanta b'!$D$24</f>
        <v>3736.4659200000006</v>
      </c>
      <c r="Y4" s="7">
        <f>Peramalan!$D$24</f>
        <v>20588.967999999997</v>
      </c>
      <c r="Z4" s="7">
        <f t="shared" ref="Z4:Z13" si="4">((T4-Y4)/T4)*100</f>
        <v>-5.6005892182497465</v>
      </c>
      <c r="AA4" s="7">
        <f t="shared" ref="AA4:AA13" si="5">ABS((T4-Y4)/T4)*100</f>
        <v>5.6005892182497465</v>
      </c>
    </row>
    <row r="5" spans="1:27" x14ac:dyDescent="0.3">
      <c r="A5" s="3" t="s">
        <v>5</v>
      </c>
      <c r="B5" s="7">
        <f>kg!$E$3</f>
        <v>11100.97</v>
      </c>
      <c r="C5" s="7">
        <f>'Single Exponen'!$E$20</f>
        <v>12895.341039999999</v>
      </c>
      <c r="D5" s="7">
        <f>'Double Exponen'!$E$20</f>
        <v>12622.645647999998</v>
      </c>
      <c r="E5" s="7">
        <f>'Konstanta a'!$E$20</f>
        <v>13168.036432000001</v>
      </c>
      <c r="F5" s="7">
        <f>'Konstanta b'!$E$20</f>
        <v>181.79692800000097</v>
      </c>
      <c r="G5" s="7">
        <f>Peramalan!$E$20</f>
        <v>16842.821200000006</v>
      </c>
      <c r="H5" s="7">
        <f t="shared" si="0"/>
        <v>-51.723869175396445</v>
      </c>
      <c r="I5" s="7">
        <f t="shared" si="1"/>
        <v>51.723869175396445</v>
      </c>
      <c r="J5" s="3" t="s">
        <v>5</v>
      </c>
      <c r="K5" s="7">
        <f>kg!$E$4</f>
        <v>505904.1</v>
      </c>
      <c r="L5" s="7">
        <f>'Single Exponen'!$E$21</f>
        <v>452320.59311999998</v>
      </c>
      <c r="M5" s="7">
        <f>'Double Exponen'!$E$21</f>
        <v>442870.26614399999</v>
      </c>
      <c r="N5" s="7">
        <f>'Konstanta a'!$E$21</f>
        <v>461770.92009599996</v>
      </c>
      <c r="O5" s="7">
        <f>'Konstanta b'!$E$21</f>
        <v>6300.217983999989</v>
      </c>
      <c r="P5" s="7">
        <f>Peramalan!$E$21</f>
        <v>383311.93360000005</v>
      </c>
      <c r="Q5" s="7">
        <f t="shared" si="2"/>
        <v>24.232293511754488</v>
      </c>
      <c r="R5" s="7">
        <f t="shared" si="3"/>
        <v>24.232293511754488</v>
      </c>
      <c r="S5" s="3" t="s">
        <v>5</v>
      </c>
      <c r="T5" s="7">
        <f>kg!$E$7</f>
        <v>18855.900000000001</v>
      </c>
      <c r="U5" s="7">
        <f>'Single Exponen'!$E$24</f>
        <v>16113.613439999999</v>
      </c>
      <c r="V5" s="7">
        <f>'Double Exponen'!$E$24</f>
        <v>11653.879487999999</v>
      </c>
      <c r="W5" s="7">
        <f>'Konstanta a'!$E$24</f>
        <v>20573.347392</v>
      </c>
      <c r="X5" s="7">
        <f>'Konstanta b'!$E$24</f>
        <v>2973.1559680000005</v>
      </c>
      <c r="Y5" s="7">
        <f>Peramalan!$E$24</f>
        <v>23626.587200000002</v>
      </c>
      <c r="Z5" s="7">
        <f t="shared" si="4"/>
        <v>-25.300766338387454</v>
      </c>
      <c r="AA5" s="7">
        <f t="shared" si="5"/>
        <v>25.300766338387454</v>
      </c>
    </row>
    <row r="6" spans="1:27" x14ac:dyDescent="0.3">
      <c r="A6" s="3" t="s">
        <v>6</v>
      </c>
      <c r="B6" s="7">
        <f>kg!$F$3</f>
        <v>9095.66</v>
      </c>
      <c r="C6" s="7">
        <f>'Single Exponen'!$F$20</f>
        <v>11375.468623999999</v>
      </c>
      <c r="D6" s="7">
        <f>'Double Exponen'!$F$20</f>
        <v>12123.774838399999</v>
      </c>
      <c r="E6" s="7">
        <f>'Konstanta a'!$F$20</f>
        <v>10627.1624096</v>
      </c>
      <c r="F6" s="7">
        <f>'Konstanta b'!$F$20</f>
        <v>-498.8708095999998</v>
      </c>
      <c r="G6" s="7">
        <f>Peramalan!$F$20</f>
        <v>13349.833360000002</v>
      </c>
      <c r="H6" s="7">
        <f t="shared" si="0"/>
        <v>-46.771464192812864</v>
      </c>
      <c r="I6" s="7">
        <f t="shared" si="1"/>
        <v>46.771464192812864</v>
      </c>
      <c r="J6" s="3" t="s">
        <v>6</v>
      </c>
      <c r="K6" s="7">
        <f>kg!$F$4</f>
        <v>201079.58</v>
      </c>
      <c r="L6" s="7">
        <f>'Single Exponen'!$F$21</f>
        <v>351824.18787199998</v>
      </c>
      <c r="M6" s="7">
        <f>'Double Exponen'!$F$21</f>
        <v>406451.83483519999</v>
      </c>
      <c r="N6" s="7">
        <f>'Konstanta a'!$F$21</f>
        <v>297196.54090879997</v>
      </c>
      <c r="O6" s="7">
        <f>'Konstanta b'!$F$21</f>
        <v>-36418.431308800013</v>
      </c>
      <c r="P6" s="7">
        <f>Peramalan!$F$21</f>
        <v>468071.13807999995</v>
      </c>
      <c r="Q6" s="7">
        <f t="shared" si="2"/>
        <v>-132.77905100060386</v>
      </c>
      <c r="R6" s="7">
        <f t="shared" si="3"/>
        <v>132.77905100060386</v>
      </c>
      <c r="S6" s="3" t="s">
        <v>6</v>
      </c>
      <c r="T6" s="7">
        <f>kg!$F$7</f>
        <v>26851.599999999999</v>
      </c>
      <c r="U6" s="7">
        <f>'Single Exponen'!$F$24</f>
        <v>20408.808063999997</v>
      </c>
      <c r="V6" s="7">
        <f>'Double Exponen'!$F$24</f>
        <v>15155.850918399998</v>
      </c>
      <c r="W6" s="7">
        <f>'Konstanta a'!$F$24</f>
        <v>25661.765209599995</v>
      </c>
      <c r="X6" s="7">
        <f>'Konstanta b'!$F$24</f>
        <v>3501.9714303999999</v>
      </c>
      <c r="Y6" s="7">
        <f>Peramalan!$F$24</f>
        <v>23546.503359999999</v>
      </c>
      <c r="Z6" s="7">
        <f t="shared" si="4"/>
        <v>12.30875121035618</v>
      </c>
      <c r="AA6" s="7">
        <f t="shared" si="5"/>
        <v>12.30875121035618</v>
      </c>
    </row>
    <row r="7" spans="1:27" x14ac:dyDescent="0.3">
      <c r="A7" s="3" t="s">
        <v>7</v>
      </c>
      <c r="B7" s="7">
        <f>kg!$G$3</f>
        <v>8185.36</v>
      </c>
      <c r="C7" s="7">
        <f>'Single Exponen'!$G$20</f>
        <v>10099.425174399999</v>
      </c>
      <c r="D7" s="7">
        <f>'Double Exponen'!$G$20</f>
        <v>11314.034972799998</v>
      </c>
      <c r="E7" s="7">
        <f>'Konstanta a'!$G$20</f>
        <v>8884.8153760000005</v>
      </c>
      <c r="F7" s="7">
        <f>'Konstanta b'!$G$20</f>
        <v>-809.73986559999935</v>
      </c>
      <c r="G7" s="7">
        <f>Peramalan!$G$20</f>
        <v>10128.2916</v>
      </c>
      <c r="H7" s="7">
        <f t="shared" si="0"/>
        <v>-23.736666438617249</v>
      </c>
      <c r="I7" s="7">
        <f t="shared" si="1"/>
        <v>23.736666438617249</v>
      </c>
      <c r="J7" s="3" t="s">
        <v>7</v>
      </c>
      <c r="K7" s="7">
        <f>kg!$G$4</f>
        <v>378271.8</v>
      </c>
      <c r="L7" s="7">
        <f>'Single Exponen'!$G$21</f>
        <v>362403.2327232</v>
      </c>
      <c r="M7" s="7">
        <f>'Double Exponen'!$G$21</f>
        <v>388832.39399040001</v>
      </c>
      <c r="N7" s="7">
        <f>'Konstanta a'!$G$21</f>
        <v>335974.07145599998</v>
      </c>
      <c r="O7" s="7">
        <f>'Konstanta b'!$G$21</f>
        <v>-17619.440844800014</v>
      </c>
      <c r="P7" s="7">
        <f>Peramalan!$G$21</f>
        <v>260778.10959999997</v>
      </c>
      <c r="Q7" s="7">
        <f t="shared" si="2"/>
        <v>31.060652789872261</v>
      </c>
      <c r="R7" s="7">
        <f t="shared" si="3"/>
        <v>31.060652789872261</v>
      </c>
      <c r="S7" s="3" t="s">
        <v>7</v>
      </c>
      <c r="T7" s="7">
        <f>kg!$G$7</f>
        <v>17468.29</v>
      </c>
      <c r="U7" s="7">
        <f>'Single Exponen'!$G$24</f>
        <v>19232.600838399998</v>
      </c>
      <c r="V7" s="7">
        <f>'Double Exponen'!$G$24</f>
        <v>16786.5508864</v>
      </c>
      <c r="W7" s="7">
        <f>'Konstanta a'!$G$24</f>
        <v>21678.650790399995</v>
      </c>
      <c r="X7" s="7">
        <f>'Konstanta b'!$G$24</f>
        <v>1630.6999679999985</v>
      </c>
      <c r="Y7" s="7">
        <f>Peramalan!$G$24</f>
        <v>29163.736639999996</v>
      </c>
      <c r="Z7" s="7">
        <f t="shared" si="4"/>
        <v>-66.95244148110659</v>
      </c>
      <c r="AA7" s="7">
        <f t="shared" si="5"/>
        <v>66.95244148110659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Exponen'!$H$20</f>
        <v>13365.81510464</v>
      </c>
      <c r="D8" s="7">
        <f>'Double Exponen'!$H$20</f>
        <v>12134.747025535999</v>
      </c>
      <c r="E8" s="7">
        <f>'Konstanta a'!$H$20</f>
        <v>14596.883183744001</v>
      </c>
      <c r="F8" s="7">
        <f>'Konstanta b'!$H$20</f>
        <v>820.71205273600094</v>
      </c>
      <c r="G8" s="7">
        <f>Peramalan!$H$20</f>
        <v>8075.0755104000009</v>
      </c>
      <c r="H8" s="7">
        <f t="shared" si="0"/>
        <v>55.790316607355983</v>
      </c>
      <c r="I8" s="7">
        <f t="shared" si="1"/>
        <v>55.790316607355983</v>
      </c>
      <c r="J8" s="3" t="s">
        <v>8</v>
      </c>
      <c r="K8" s="7">
        <f>kg!$H$4</f>
        <v>463478.68</v>
      </c>
      <c r="L8" s="7">
        <f>'Single Exponen'!$H$21</f>
        <v>402833.41163392004</v>
      </c>
      <c r="M8" s="7">
        <f>'Double Exponen'!$H$21</f>
        <v>394432.80104780803</v>
      </c>
      <c r="N8" s="7">
        <f>'Konstanta a'!$H$21</f>
        <v>411234.02222003206</v>
      </c>
      <c r="O8" s="7">
        <f>'Konstanta b'!$H$21</f>
        <v>5600.4070574080115</v>
      </c>
      <c r="P8" s="7">
        <f>Peramalan!$H$21</f>
        <v>318354.63061119994</v>
      </c>
      <c r="Q8" s="7">
        <f t="shared" si="2"/>
        <v>31.311914798065803</v>
      </c>
      <c r="R8" s="7">
        <f t="shared" si="3"/>
        <v>31.311914798065803</v>
      </c>
      <c r="S8" s="3" t="s">
        <v>8</v>
      </c>
      <c r="T8" s="7">
        <f>kg!$H$7</f>
        <v>53358.239999999998</v>
      </c>
      <c r="U8" s="7">
        <f>'Single Exponen'!$H$24</f>
        <v>32882.856503039999</v>
      </c>
      <c r="V8" s="7">
        <f>'Double Exponen'!$H$24</f>
        <v>23225.073133056001</v>
      </c>
      <c r="W8" s="7">
        <f>'Konstanta a'!$H$24</f>
        <v>42540.639873023996</v>
      </c>
      <c r="X8" s="7">
        <f>'Konstanta b'!$H$24</f>
        <v>6438.522246655999</v>
      </c>
      <c r="Y8" s="7">
        <f>Peramalan!$H$24</f>
        <v>23309.350758399993</v>
      </c>
      <c r="Z8" s="7">
        <f t="shared" si="4"/>
        <v>56.315368051120139</v>
      </c>
      <c r="AA8" s="7">
        <f t="shared" si="5"/>
        <v>56.315368051120139</v>
      </c>
    </row>
    <row r="9" spans="1:27" x14ac:dyDescent="0.3">
      <c r="A9" s="3" t="s">
        <v>9</v>
      </c>
      <c r="B9" s="7">
        <f>kg!$I$3</f>
        <v>11044.68</v>
      </c>
      <c r="C9" s="7">
        <f>'Single Exponen'!$I$20</f>
        <v>12437.361062783999</v>
      </c>
      <c r="D9" s="7">
        <f>'Double Exponen'!$I$20</f>
        <v>12255.7926404352</v>
      </c>
      <c r="E9" s="7">
        <f>'Konstanta a'!$I$20</f>
        <v>12618.929485132798</v>
      </c>
      <c r="F9" s="7">
        <f>'Konstanta b'!$I$20</f>
        <v>121.04561489919919</v>
      </c>
      <c r="G9" s="7">
        <f>Peramalan!$I$20</f>
        <v>15417.595236480001</v>
      </c>
      <c r="H9" s="7">
        <f t="shared" si="0"/>
        <v>-39.592955490607253</v>
      </c>
      <c r="I9" s="7">
        <f t="shared" si="1"/>
        <v>39.592955490607253</v>
      </c>
      <c r="J9" s="3" t="s">
        <v>9</v>
      </c>
      <c r="K9" s="7">
        <f>kg!$I$4</f>
        <v>511860.86</v>
      </c>
      <c r="L9" s="7">
        <f>'Single Exponen'!$I$21</f>
        <v>446444.39098035207</v>
      </c>
      <c r="M9" s="7">
        <f>'Double Exponen'!$I$21</f>
        <v>415237.43702082569</v>
      </c>
      <c r="N9" s="7">
        <f>'Konstanta a'!$I$21</f>
        <v>477651.34493987844</v>
      </c>
      <c r="O9" s="7">
        <f>'Konstanta b'!$I$21</f>
        <v>20804.635973017586</v>
      </c>
      <c r="P9" s="7">
        <f>Peramalan!$I$21</f>
        <v>416834.42927744007</v>
      </c>
      <c r="Q9" s="7">
        <f t="shared" si="2"/>
        <v>18.564894905728856</v>
      </c>
      <c r="R9" s="7">
        <f t="shared" si="3"/>
        <v>18.564894905728856</v>
      </c>
      <c r="S9" s="3" t="s">
        <v>9</v>
      </c>
      <c r="T9" s="7">
        <f>kg!$I$7</f>
        <v>31973.26</v>
      </c>
      <c r="U9" s="7">
        <f>'Single Exponen'!$I$24</f>
        <v>32519.017901823998</v>
      </c>
      <c r="V9" s="7">
        <f>'Double Exponen'!$I$24</f>
        <v>26942.6510405632</v>
      </c>
      <c r="W9" s="7">
        <f>'Konstanta a'!$I$24</f>
        <v>38095.384763084796</v>
      </c>
      <c r="X9" s="7">
        <f>'Konstanta b'!$I$24</f>
        <v>3717.5779075071991</v>
      </c>
      <c r="Y9" s="7">
        <f>Peramalan!$I$24</f>
        <v>48979.162119679997</v>
      </c>
      <c r="Z9" s="7">
        <f t="shared" si="4"/>
        <v>-53.187889253957835</v>
      </c>
      <c r="AA9" s="7">
        <f t="shared" si="5"/>
        <v>53.187889253957835</v>
      </c>
    </row>
    <row r="10" spans="1:27" x14ac:dyDescent="0.3">
      <c r="A10" s="3" t="s">
        <v>10</v>
      </c>
      <c r="B10" s="7">
        <f>kg!$J$3</f>
        <v>10889.55</v>
      </c>
      <c r="C10" s="7">
        <f>'Single Exponen'!$J$20</f>
        <v>11818.236637670398</v>
      </c>
      <c r="D10" s="7">
        <f>'Double Exponen'!$J$20</f>
        <v>12080.770239329278</v>
      </c>
      <c r="E10" s="7">
        <f>'Konstanta a'!$J$20</f>
        <v>11555.703036011517</v>
      </c>
      <c r="F10" s="7">
        <f>'Konstanta b'!$J$20</f>
        <v>-175.02240110592055</v>
      </c>
      <c r="G10" s="7">
        <f>Peramalan!$J$20</f>
        <v>12739.975100031997</v>
      </c>
      <c r="H10" s="7">
        <f t="shared" si="0"/>
        <v>-16.992668200540869</v>
      </c>
      <c r="I10" s="7">
        <f t="shared" si="1"/>
        <v>16.992668200540869</v>
      </c>
      <c r="J10" s="3" t="s">
        <v>10</v>
      </c>
      <c r="K10" s="7">
        <f>kg!$J$4</f>
        <v>513170.2</v>
      </c>
      <c r="L10" s="7">
        <f>'Single Exponen'!$J$21</f>
        <v>473134.71458821127</v>
      </c>
      <c r="M10" s="7">
        <f>'Double Exponen'!$J$21</f>
        <v>438396.34804777987</v>
      </c>
      <c r="N10" s="7">
        <f>'Konstanta a'!$J$21</f>
        <v>507873.08112864266</v>
      </c>
      <c r="O10" s="7">
        <f>'Konstanta b'!$J$21</f>
        <v>23158.911026954265</v>
      </c>
      <c r="P10" s="7">
        <f>Peramalan!$J$21</f>
        <v>498455.98091289605</v>
      </c>
      <c r="Q10" s="7">
        <f t="shared" si="2"/>
        <v>2.867317526836898</v>
      </c>
      <c r="R10" s="7">
        <f t="shared" si="3"/>
        <v>2.867317526836898</v>
      </c>
      <c r="S10" s="3" t="s">
        <v>10</v>
      </c>
      <c r="T10" s="7">
        <f>kg!$J$7</f>
        <v>28522.799999999999</v>
      </c>
      <c r="U10" s="7">
        <f>'Single Exponen'!$J$24</f>
        <v>30920.530741094401</v>
      </c>
      <c r="V10" s="7">
        <f>'Double Exponen'!$J$24</f>
        <v>28533.802920775681</v>
      </c>
      <c r="W10" s="7">
        <f>'Konstanta a'!$J$24</f>
        <v>33307.258561413124</v>
      </c>
      <c r="X10" s="7">
        <f>'Konstanta b'!$J$24</f>
        <v>1591.1518802124799</v>
      </c>
      <c r="Y10" s="7">
        <f>Peramalan!$J$24</f>
        <v>41812.962670591995</v>
      </c>
      <c r="Z10" s="7">
        <f t="shared" si="4"/>
        <v>-46.594873822317567</v>
      </c>
      <c r="AA10" s="7">
        <f t="shared" si="5"/>
        <v>46.594873822317567</v>
      </c>
    </row>
    <row r="11" spans="1:27" x14ac:dyDescent="0.3">
      <c r="A11" s="3" t="s">
        <v>11</v>
      </c>
      <c r="B11" s="7">
        <f>kg!$K$3</f>
        <v>8406.34</v>
      </c>
      <c r="C11" s="7">
        <f>'Single Exponen'!$K$20</f>
        <v>10453.477982602239</v>
      </c>
      <c r="D11" s="7">
        <f>'Double Exponen'!$K$20</f>
        <v>11429.853336638462</v>
      </c>
      <c r="E11" s="7">
        <f>'Konstanta a'!$K$20</f>
        <v>9477.1026285660155</v>
      </c>
      <c r="F11" s="7">
        <f>'Konstanta b'!$K$20</f>
        <v>-650.9169026908155</v>
      </c>
      <c r="G11" s="7">
        <f>Peramalan!$K$20</f>
        <v>11380.680634905597</v>
      </c>
      <c r="H11" s="7">
        <f t="shared" si="0"/>
        <v>-35.382112011952842</v>
      </c>
      <c r="I11" s="7">
        <f t="shared" si="1"/>
        <v>35.382112011952842</v>
      </c>
      <c r="J11" s="3" t="s">
        <v>11</v>
      </c>
      <c r="K11" s="7">
        <f>kg!$K$4</f>
        <v>525723.46</v>
      </c>
      <c r="L11" s="7">
        <f>'Single Exponen'!$K$21</f>
        <v>494170.21275292675</v>
      </c>
      <c r="M11" s="7">
        <f>'Double Exponen'!$K$21</f>
        <v>460705.89392983861</v>
      </c>
      <c r="N11" s="7">
        <f>'Konstanta a'!$K$21</f>
        <v>527634.53157601482</v>
      </c>
      <c r="O11" s="7">
        <f>'Konstanta b'!$K$21</f>
        <v>22309.545882058759</v>
      </c>
      <c r="P11" s="7">
        <f>Peramalan!$K$21</f>
        <v>531031.99215559696</v>
      </c>
      <c r="Q11" s="7">
        <f t="shared" si="2"/>
        <v>-1.0097575169266748</v>
      </c>
      <c r="R11" s="7">
        <f t="shared" si="3"/>
        <v>1.0097575169266748</v>
      </c>
      <c r="S11" s="3" t="s">
        <v>11</v>
      </c>
      <c r="T11" s="7">
        <f>kg!$K$7</f>
        <v>51078.26</v>
      </c>
      <c r="U11" s="7">
        <f>'Single Exponen'!$K$24</f>
        <v>38983.622444656648</v>
      </c>
      <c r="V11" s="7">
        <f>'Double Exponen'!$K$24</f>
        <v>32713.730730328069</v>
      </c>
      <c r="W11" s="7">
        <f>'Konstanta a'!$K$24</f>
        <v>45253.514158985228</v>
      </c>
      <c r="X11" s="7">
        <f>'Konstanta b'!$K$24</f>
        <v>4179.9278095523869</v>
      </c>
      <c r="Y11" s="7">
        <f>Peramalan!$K$24</f>
        <v>34898.410441625601</v>
      </c>
      <c r="Z11" s="7">
        <f t="shared" si="4"/>
        <v>31.676587178917998</v>
      </c>
      <c r="AA11" s="7">
        <f t="shared" si="5"/>
        <v>31.676587178917998</v>
      </c>
    </row>
    <row r="12" spans="1:27" x14ac:dyDescent="0.3">
      <c r="A12" s="3" t="s">
        <v>12</v>
      </c>
      <c r="B12" s="7">
        <f>kg!$L$3</f>
        <v>18149.95</v>
      </c>
      <c r="C12" s="7">
        <f>'Single Exponen'!$L$20</f>
        <v>13532.066789561344</v>
      </c>
      <c r="D12" s="7">
        <f>'Double Exponen'!$L$20</f>
        <v>12270.738717807615</v>
      </c>
      <c r="E12" s="7">
        <f>'Konstanta a'!$L$20</f>
        <v>14793.394861315073</v>
      </c>
      <c r="F12" s="7">
        <f>'Konstanta b'!$L$20</f>
        <v>840.88538116915277</v>
      </c>
      <c r="G12" s="7">
        <f>Peramalan!$L$20</f>
        <v>8826.1857258752007</v>
      </c>
      <c r="H12" s="7">
        <f t="shared" si="0"/>
        <v>51.370743578493602</v>
      </c>
      <c r="I12" s="7">
        <f t="shared" si="1"/>
        <v>51.370743578493602</v>
      </c>
      <c r="J12" s="3" t="s">
        <v>12</v>
      </c>
      <c r="K12" s="7">
        <f>kg!$L$4</f>
        <v>480711.96</v>
      </c>
      <c r="L12" s="7">
        <f>'Single Exponen'!$L$21</f>
        <v>488786.91165175603</v>
      </c>
      <c r="M12" s="7">
        <f>'Double Exponen'!$L$21</f>
        <v>471938.30101860559</v>
      </c>
      <c r="N12" s="7">
        <f>'Konstanta a'!$L$21</f>
        <v>505635.52228490647</v>
      </c>
      <c r="O12" s="7">
        <f>'Konstanta b'!$L$21</f>
        <v>11232.407088766962</v>
      </c>
      <c r="P12" s="7">
        <f>Peramalan!$L$21</f>
        <v>549944.07745807362</v>
      </c>
      <c r="Q12" s="7">
        <f t="shared" si="2"/>
        <v>-14.401996043134352</v>
      </c>
      <c r="R12" s="7">
        <f t="shared" si="3"/>
        <v>14.401996043134352</v>
      </c>
      <c r="S12" s="3" t="s">
        <v>12</v>
      </c>
      <c r="T12" s="7">
        <f>kg!$L$7</f>
        <v>50149.88</v>
      </c>
      <c r="U12" s="7">
        <f>'Single Exponen'!$L$24</f>
        <v>43450.125466793994</v>
      </c>
      <c r="V12" s="7">
        <f>'Double Exponen'!$L$24</f>
        <v>37008.288624914436</v>
      </c>
      <c r="W12" s="7">
        <f>'Konstanta a'!$L$24</f>
        <v>49891.962308673552</v>
      </c>
      <c r="X12" s="7">
        <f>'Konstanta b'!$L$24</f>
        <v>4294.5578945863726</v>
      </c>
      <c r="Y12" s="7">
        <f>Peramalan!$L$24</f>
        <v>49433.441968537612</v>
      </c>
      <c r="Z12" s="7">
        <f t="shared" si="4"/>
        <v>1.4285937104184199</v>
      </c>
      <c r="AA12" s="7">
        <f t="shared" si="5"/>
        <v>1.4285937104184199</v>
      </c>
    </row>
    <row r="13" spans="1:27" x14ac:dyDescent="0.3">
      <c r="A13" s="3" t="s">
        <v>13</v>
      </c>
      <c r="B13" s="7">
        <f>kg!$M$3</f>
        <v>11905.39</v>
      </c>
      <c r="C13" s="7">
        <f>'Single Exponen'!$M$20</f>
        <v>12881.396073736807</v>
      </c>
      <c r="D13" s="7">
        <f>'Double Exponen'!$M$20</f>
        <v>12515.001660179292</v>
      </c>
      <c r="E13" s="7">
        <f>'Konstanta a'!$M$20</f>
        <v>13247.790487294322</v>
      </c>
      <c r="F13" s="7">
        <f>'Konstanta b'!$M$20</f>
        <v>244.26294237167656</v>
      </c>
      <c r="G13" s="7">
        <f>Peramalan!$M$20</f>
        <v>15634.280242484227</v>
      </c>
      <c r="H13" s="7">
        <f t="shared" si="0"/>
        <v>-31.321025539560043</v>
      </c>
      <c r="I13" s="7">
        <f t="shared" si="1"/>
        <v>31.321025539560043</v>
      </c>
      <c r="J13" s="3" t="s">
        <v>13</v>
      </c>
      <c r="K13" s="7">
        <f>kg!$M$4</f>
        <v>428532.64</v>
      </c>
      <c r="L13" s="7">
        <f>'Single Exponen'!$M$21</f>
        <v>464685.20299105358</v>
      </c>
      <c r="M13" s="7">
        <f>'Double Exponen'!$M$21</f>
        <v>469037.06180758483</v>
      </c>
      <c r="N13" s="7">
        <f>'Konstanta a'!$M$21</f>
        <v>460333.34417452232</v>
      </c>
      <c r="O13" s="7">
        <f>'Konstanta b'!$M$21</f>
        <v>-2901.2392110208361</v>
      </c>
      <c r="P13" s="7">
        <f>Peramalan!$M$21</f>
        <v>516867.92937367345</v>
      </c>
      <c r="Q13" s="7">
        <f t="shared" si="2"/>
        <v>-20.613433173648904</v>
      </c>
      <c r="R13" s="7">
        <f t="shared" si="3"/>
        <v>20.613433173648904</v>
      </c>
      <c r="S13" s="3" t="s">
        <v>13</v>
      </c>
      <c r="T13" s="7">
        <f>kg!$M$7</f>
        <v>42897.42</v>
      </c>
      <c r="U13" s="7">
        <f>'Single Exponen'!$M$24</f>
        <v>43229.043280076396</v>
      </c>
      <c r="V13" s="7">
        <f>'Double Exponen'!$M$24</f>
        <v>39496.590486979214</v>
      </c>
      <c r="W13" s="7">
        <f>'Konstanta a'!$M$24</f>
        <v>46961.496073173577</v>
      </c>
      <c r="X13" s="7">
        <f>'Konstanta b'!$M$24</f>
        <v>2488.3018620647881</v>
      </c>
      <c r="Y13" s="7">
        <f>Peramalan!$M$24</f>
        <v>54186.520203259926</v>
      </c>
      <c r="Z13" s="7">
        <f t="shared" si="4"/>
        <v>-26.316501559440937</v>
      </c>
      <c r="AA13" s="7">
        <f t="shared" si="5"/>
        <v>26.316501559440937</v>
      </c>
    </row>
    <row r="14" spans="1:27" x14ac:dyDescent="0.3">
      <c r="H14" s="6">
        <f>(SUM(H3:H13)/12)</f>
        <v>-19.280913083571853</v>
      </c>
      <c r="I14" s="6">
        <f>(SUM(I3:I13)/12)</f>
        <v>48.774728833604861</v>
      </c>
      <c r="Q14" s="6">
        <f>(SUM(Q3:Q13)/12)</f>
        <v>-6.8185509125133583</v>
      </c>
      <c r="R14" s="6">
        <f>(SUM(R3:R13)/12)</f>
        <v>24.824729834556408</v>
      </c>
      <c r="Z14" s="6">
        <f>(SUM(Z3:Z13)/12)</f>
        <v>-2.1898802867903204</v>
      </c>
      <c r="AA14" s="6">
        <f>(SUM(AA3:AA13)/12)</f>
        <v>35.135629992119704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Exponen'!$B$22</f>
        <v>23458.3</v>
      </c>
      <c r="M16" s="7">
        <f>'Double Exponen'!$B$22</f>
        <v>23458.3</v>
      </c>
      <c r="N16" s="7">
        <f>'Konstanta a'!$B$22</f>
        <v>23458.3</v>
      </c>
      <c r="O16" s="7">
        <f>'Konstanta b'!$B$22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Exponen'!$C$22</f>
        <v>30961.62</v>
      </c>
      <c r="M17" s="7">
        <f>'Double Exponen'!$C$22</f>
        <v>26459.628000000001</v>
      </c>
      <c r="N17" s="7">
        <f>'Konstanta a'!$C$22</f>
        <v>35463.611999999994</v>
      </c>
      <c r="O17" s="7">
        <f>'Konstanta b'!$C$22</f>
        <v>3001.3279999999991</v>
      </c>
      <c r="P17" s="7">
        <f>Peramalan!$C$22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Exponen'!$D$22</f>
        <v>30077.732</v>
      </c>
      <c r="M18" s="7">
        <f>'Double Exponen'!$D$22</f>
        <v>27906.869599999998</v>
      </c>
      <c r="N18" s="7">
        <f>'Konstanta a'!$D$22</f>
        <v>32248.594400000002</v>
      </c>
      <c r="O18" s="7">
        <f>'Konstanta b'!$D$22</f>
        <v>1447.2416000000014</v>
      </c>
      <c r="P18" s="7">
        <f>Peramalan!$D$22</f>
        <v>38464.939999999995</v>
      </c>
      <c r="Q18" s="7">
        <f t="shared" ref="Q18:Q27" si="6">((K18-P18)/K18)*100</f>
        <v>-33.782254390144629</v>
      </c>
      <c r="R18" s="7">
        <f t="shared" ref="R18:R27" si="7">ABS((K18-P18)/K18)*100</f>
        <v>33.782254390144629</v>
      </c>
    </row>
    <row r="19" spans="10:18" x14ac:dyDescent="0.3">
      <c r="J19" s="3" t="s">
        <v>5</v>
      </c>
      <c r="K19" s="7">
        <f>kg!$E$5</f>
        <v>39376.9</v>
      </c>
      <c r="L19" s="7">
        <f>'Single Exponen'!$E$22</f>
        <v>33797.3992</v>
      </c>
      <c r="M19" s="7">
        <f>'Double Exponen'!$E$22</f>
        <v>30263.081439999998</v>
      </c>
      <c r="N19" s="7">
        <f>'Konstanta a'!$E$22</f>
        <v>37331.716960000005</v>
      </c>
      <c r="O19" s="7">
        <f>'Konstanta b'!$E$22</f>
        <v>2356.2118400000013</v>
      </c>
      <c r="P19" s="7">
        <f>Peramalan!$E$22</f>
        <v>33695.836000000003</v>
      </c>
      <c r="Q19" s="7">
        <f t="shared" si="6"/>
        <v>14.427402868179055</v>
      </c>
      <c r="R19" s="7">
        <f t="shared" si="7"/>
        <v>14.427402868179055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Exponen'!$F$22</f>
        <v>29823.079519999999</v>
      </c>
      <c r="M20" s="7">
        <f>'Double Exponen'!$F$22</f>
        <v>30087.080672</v>
      </c>
      <c r="N20" s="7">
        <f>'Konstanta a'!$F$22</f>
        <v>29559.078367999999</v>
      </c>
      <c r="O20" s="7">
        <f>'Konstanta b'!$F$22</f>
        <v>-176.00076800000051</v>
      </c>
      <c r="P20" s="7">
        <f>Peramalan!$F$22</f>
        <v>39687.928800000009</v>
      </c>
      <c r="Q20" s="7">
        <f t="shared" si="6"/>
        <v>-66.325513796224939</v>
      </c>
      <c r="R20" s="7">
        <f t="shared" si="7"/>
        <v>66.325513796224939</v>
      </c>
    </row>
    <row r="21" spans="10:18" x14ac:dyDescent="0.3">
      <c r="J21" s="3" t="s">
        <v>7</v>
      </c>
      <c r="K21" s="7">
        <f>kg!$G$5</f>
        <v>57216.9</v>
      </c>
      <c r="L21" s="7">
        <f>'Single Exponen'!$G$22</f>
        <v>40780.607711999997</v>
      </c>
      <c r="M21" s="7">
        <f>'Double Exponen'!$G$22</f>
        <v>34364.491488</v>
      </c>
      <c r="N21" s="7">
        <f>'Konstanta a'!$G$22</f>
        <v>47196.723935999995</v>
      </c>
      <c r="O21" s="7">
        <f>'Konstanta b'!$G$22</f>
        <v>4277.4108159999987</v>
      </c>
      <c r="P21" s="7">
        <f>Peramalan!$G$22</f>
        <v>29383.077599999997</v>
      </c>
      <c r="Q21" s="7">
        <f t="shared" si="6"/>
        <v>48.646155943436298</v>
      </c>
      <c r="R21" s="7">
        <f t="shared" si="7"/>
        <v>48.646155943436298</v>
      </c>
    </row>
    <row r="22" spans="10:18" x14ac:dyDescent="0.3">
      <c r="J22" s="3" t="s">
        <v>8</v>
      </c>
      <c r="K22" s="7">
        <f>kg!$H$5</f>
        <v>83736.7</v>
      </c>
      <c r="L22" s="7">
        <f>'Single Exponen'!$H$22</f>
        <v>57963.044627199997</v>
      </c>
      <c r="M22" s="7">
        <f>'Double Exponen'!$H$22</f>
        <v>43803.912743679997</v>
      </c>
      <c r="N22" s="7">
        <f>'Konstanta a'!$H$22</f>
        <v>72122.17651071999</v>
      </c>
      <c r="O22" s="7">
        <f>'Konstanta b'!$H$22</f>
        <v>9439.4212556800012</v>
      </c>
      <c r="P22" s="7">
        <f>Peramalan!$H$22</f>
        <v>51474.134751999991</v>
      </c>
      <c r="Q22" s="7">
        <f t="shared" si="6"/>
        <v>38.528584537007085</v>
      </c>
      <c r="R22" s="7">
        <f t="shared" si="7"/>
        <v>38.528584537007085</v>
      </c>
    </row>
    <row r="23" spans="10:18" x14ac:dyDescent="0.3">
      <c r="J23" s="3" t="s">
        <v>9</v>
      </c>
      <c r="K23" s="7">
        <f>kg!$I$5</f>
        <v>54053.2</v>
      </c>
      <c r="L23" s="7">
        <f>'Single Exponen'!$I$22</f>
        <v>56399.106776319997</v>
      </c>
      <c r="M23" s="7">
        <f>'Double Exponen'!$I$22</f>
        <v>48841.990356736002</v>
      </c>
      <c r="N23" s="7">
        <f>'Konstanta a'!$I$22</f>
        <v>63956.223195903993</v>
      </c>
      <c r="O23" s="7">
        <f>'Konstanta b'!$I$22</f>
        <v>5038.077613055998</v>
      </c>
      <c r="P23" s="7">
        <f>Peramalan!$I$22</f>
        <v>81561.597766399995</v>
      </c>
      <c r="Q23" s="7">
        <f t="shared" si="6"/>
        <v>-50.891339951011226</v>
      </c>
      <c r="R23" s="7">
        <f t="shared" si="7"/>
        <v>50.891339951011226</v>
      </c>
    </row>
    <row r="24" spans="10:18" x14ac:dyDescent="0.3">
      <c r="J24" s="3" t="s">
        <v>10</v>
      </c>
      <c r="K24" s="7">
        <f>kg!$J$5</f>
        <v>11264.5</v>
      </c>
      <c r="L24" s="7">
        <f>'Single Exponen'!$J$22</f>
        <v>38345.264065791998</v>
      </c>
      <c r="M24" s="7">
        <f>'Double Exponen'!$J$22</f>
        <v>44643.299840358399</v>
      </c>
      <c r="N24" s="7">
        <f>'Konstanta a'!$J$22</f>
        <v>32047.228291225598</v>
      </c>
      <c r="O24" s="7">
        <f>'Konstanta b'!$J$22</f>
        <v>-4198.6905163776009</v>
      </c>
      <c r="P24" s="7">
        <f>Peramalan!$J$22</f>
        <v>68994.30080895999</v>
      </c>
      <c r="Q24" s="7">
        <f t="shared" si="6"/>
        <v>-512.49323812827902</v>
      </c>
      <c r="R24" s="7">
        <f t="shared" si="7"/>
        <v>512.49323812827902</v>
      </c>
    </row>
    <row r="25" spans="10:18" x14ac:dyDescent="0.3">
      <c r="J25" s="3" t="s">
        <v>11</v>
      </c>
      <c r="K25" s="7">
        <f>kg!$K$5</f>
        <v>24215</v>
      </c>
      <c r="L25" s="7">
        <f>'Single Exponen'!$K$22</f>
        <v>32693.158439475199</v>
      </c>
      <c r="M25" s="7">
        <f>'Double Exponen'!$K$22</f>
        <v>39863.243280005117</v>
      </c>
      <c r="N25" s="7">
        <f>'Konstanta a'!$K$22</f>
        <v>25523.073598945281</v>
      </c>
      <c r="O25" s="7">
        <f>'Konstanta b'!$K$22</f>
        <v>-4780.0565603532796</v>
      </c>
      <c r="P25" s="7">
        <f>Peramalan!$K$22</f>
        <v>27848.537774847995</v>
      </c>
      <c r="Q25" s="7">
        <f t="shared" si="6"/>
        <v>-15.005318087334278</v>
      </c>
      <c r="R25" s="7">
        <f t="shared" si="7"/>
        <v>15.005318087334278</v>
      </c>
    </row>
    <row r="26" spans="10:18" x14ac:dyDescent="0.3">
      <c r="J26" s="3" t="s">
        <v>12</v>
      </c>
      <c r="K26" s="7">
        <f>kg!$L$5</f>
        <v>26860.6</v>
      </c>
      <c r="L26" s="7">
        <f>'Single Exponen'!$L$22</f>
        <v>30360.13506368512</v>
      </c>
      <c r="M26" s="7">
        <f>'Double Exponen'!$L$22</f>
        <v>36061.999993477119</v>
      </c>
      <c r="N26" s="7">
        <f>'Konstanta a'!$L$22</f>
        <v>24658.270133893122</v>
      </c>
      <c r="O26" s="7">
        <f>'Konstanta b'!$L$22</f>
        <v>-3801.2432865279993</v>
      </c>
      <c r="P26" s="7">
        <f>Peramalan!$L$22</f>
        <v>20743.017038591999</v>
      </c>
      <c r="Q26" s="7">
        <f t="shared" si="6"/>
        <v>22.775302716275885</v>
      </c>
      <c r="R26" s="7">
        <f t="shared" si="7"/>
        <v>22.775302716275885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Exponen'!$M$22</f>
        <v>31757.161038211074</v>
      </c>
      <c r="M27" s="7">
        <f>'Double Exponen'!$M$22</f>
        <v>34340.064411370702</v>
      </c>
      <c r="N27" s="7">
        <f>'Konstanta a'!$M$22</f>
        <v>29174.257665051446</v>
      </c>
      <c r="O27" s="7">
        <f>'Konstanta b'!$M$22</f>
        <v>-1721.9355821064191</v>
      </c>
      <c r="P27" s="7">
        <f>Peramalan!$M$22</f>
        <v>20857.026847365123</v>
      </c>
      <c r="Q27" s="7">
        <f t="shared" si="6"/>
        <v>38.388882283052382</v>
      </c>
      <c r="R27" s="7">
        <f t="shared" si="7"/>
        <v>38.388882283052382</v>
      </c>
    </row>
    <row r="28" spans="10:18" x14ac:dyDescent="0.3">
      <c r="Q28" s="6">
        <f>(SUM(Q17:Q27)/12)</f>
        <v>-39.274822225519735</v>
      </c>
      <c r="R28" s="6">
        <f>(SUM(R17:R27)/12)</f>
        <v>73.808121833312626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Exponen'!$B$23</f>
        <v>4698.6499999999996</v>
      </c>
      <c r="M30" s="7">
        <f>'Double Exponen'!$B$23</f>
        <v>4698.6499999999996</v>
      </c>
      <c r="N30" s="7">
        <f>'Konstanta a'!$B$23</f>
        <v>4698.6499999999996</v>
      </c>
      <c r="O30" s="7">
        <f>'Konstanta b'!$B$23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Exponen'!$C$23</f>
        <v>6277.19</v>
      </c>
      <c r="M31" s="7">
        <f>'Double Exponen'!$C$23</f>
        <v>5330.0659999999998</v>
      </c>
      <c r="N31" s="7">
        <f>'Konstanta a'!$C$23</f>
        <v>7224.3139999999994</v>
      </c>
      <c r="O31" s="7">
        <f>'Konstanta b'!$C$23</f>
        <v>631.41599999999994</v>
      </c>
      <c r="P31" s="7">
        <f>Peramalan!$C$23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Exponen'!$D$23</f>
        <v>6962.0939999999991</v>
      </c>
      <c r="M32" s="7">
        <f>'Double Exponen'!$D$23</f>
        <v>5982.877199999999</v>
      </c>
      <c r="N32" s="7">
        <f>'Konstanta a'!$D$23</f>
        <v>7941.3107999999993</v>
      </c>
      <c r="O32" s="7">
        <f>'Konstanta b'!$D$23</f>
        <v>652.81120000000021</v>
      </c>
      <c r="P32" s="7">
        <f>Peramalan!$D$23</f>
        <v>7855.73</v>
      </c>
      <c r="Q32" s="7">
        <f t="shared" ref="Q32:Q41" si="8">((K32-P32)/K32)*100</f>
        <v>1.6737072013718122</v>
      </c>
      <c r="R32" s="7">
        <f t="shared" ref="R32:R41" si="9">ABS((K32-P32)/K32)*100</f>
        <v>1.6737072013718122</v>
      </c>
    </row>
    <row r="33" spans="10:18" x14ac:dyDescent="0.3">
      <c r="J33" s="3" t="s">
        <v>5</v>
      </c>
      <c r="K33" s="7">
        <f>kg!$E$6</f>
        <v>6543.56</v>
      </c>
      <c r="L33" s="7">
        <f>'Single Exponen'!$E$23</f>
        <v>6794.6803999999993</v>
      </c>
      <c r="M33" s="7">
        <f>'Double Exponen'!$E$23</f>
        <v>6307.5984799999987</v>
      </c>
      <c r="N33" s="7">
        <f>'Konstanta a'!$E$23</f>
        <v>7281.7623199999998</v>
      </c>
      <c r="O33" s="7">
        <f>'Konstanta b'!$E$23</f>
        <v>324.72128000000038</v>
      </c>
      <c r="P33" s="7">
        <f>Peramalan!$E$23</f>
        <v>8594.1219999999994</v>
      </c>
      <c r="Q33" s="7">
        <f t="shared" si="8"/>
        <v>-31.337100905317577</v>
      </c>
      <c r="R33" s="7">
        <f t="shared" si="9"/>
        <v>31.337100905317577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Exponen'!$F$23</f>
        <v>22355.848239999999</v>
      </c>
      <c r="M34" s="7">
        <f>'Double Exponen'!$F$23</f>
        <v>12726.898384</v>
      </c>
      <c r="N34" s="7">
        <f>'Konstanta a'!$F$23</f>
        <v>31984.798095999999</v>
      </c>
      <c r="O34" s="7">
        <f>'Konstanta b'!$F$23</f>
        <v>6419.2999040000004</v>
      </c>
      <c r="P34" s="7">
        <f>Peramalan!$F$23</f>
        <v>7606.4836000000005</v>
      </c>
      <c r="Q34" s="7">
        <f t="shared" si="8"/>
        <v>83.354741605686073</v>
      </c>
      <c r="R34" s="7">
        <f t="shared" si="9"/>
        <v>83.354741605686073</v>
      </c>
    </row>
    <row r="35" spans="10:18" x14ac:dyDescent="0.3">
      <c r="J35" s="3" t="s">
        <v>7</v>
      </c>
      <c r="K35" s="7">
        <f>kg!$G$6</f>
        <v>6943.02</v>
      </c>
      <c r="L35" s="7">
        <f>'Single Exponen'!$G$23</f>
        <v>16190.716944</v>
      </c>
      <c r="M35" s="7">
        <f>'Double Exponen'!$G$23</f>
        <v>14112.425808</v>
      </c>
      <c r="N35" s="7">
        <f>'Konstanta a'!$G$23</f>
        <v>18269.00808</v>
      </c>
      <c r="O35" s="7">
        <f>'Konstanta b'!$G$23</f>
        <v>1385.5274240000001</v>
      </c>
      <c r="P35" s="7">
        <f>Peramalan!$G$23</f>
        <v>38404.097999999998</v>
      </c>
      <c r="Q35" s="7">
        <f t="shared" si="8"/>
        <v>-453.13246973219134</v>
      </c>
      <c r="R35" s="7">
        <f t="shared" si="9"/>
        <v>453.13246973219134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Exponen'!$H$23</f>
        <v>13165.5141664</v>
      </c>
      <c r="M36" s="7">
        <f>'Double Exponen'!$H$23</f>
        <v>13733.66115136</v>
      </c>
      <c r="N36" s="7">
        <f>'Konstanta a'!$H$23</f>
        <v>12597.36718144</v>
      </c>
      <c r="O36" s="7">
        <f>'Konstanta b'!$H$23</f>
        <v>-378.76465663999994</v>
      </c>
      <c r="P36" s="7">
        <f>Peramalan!$H$23</f>
        <v>19654.535503999999</v>
      </c>
      <c r="Q36" s="7">
        <f t="shared" si="8"/>
        <v>-127.80709486062931</v>
      </c>
      <c r="R36" s="7">
        <f t="shared" si="9"/>
        <v>127.80709486062931</v>
      </c>
    </row>
    <row r="37" spans="10:18" x14ac:dyDescent="0.3">
      <c r="J37" s="3" t="s">
        <v>9</v>
      </c>
      <c r="K37" s="7">
        <f>kg!$I$6</f>
        <v>17194</v>
      </c>
      <c r="L37" s="7">
        <f>'Single Exponen'!$I$23</f>
        <v>14776.908499839999</v>
      </c>
      <c r="M37" s="7">
        <f>'Double Exponen'!$I$23</f>
        <v>14150.960090752</v>
      </c>
      <c r="N37" s="7">
        <f>'Konstanta a'!$I$23</f>
        <v>15402.856908927999</v>
      </c>
      <c r="O37" s="7">
        <f>'Konstanta b'!$I$23</f>
        <v>417.2989393919998</v>
      </c>
      <c r="P37" s="7">
        <f>Peramalan!$I$23</f>
        <v>12218.602524800001</v>
      </c>
      <c r="Q37" s="7">
        <f t="shared" si="8"/>
        <v>28.936823747819002</v>
      </c>
      <c r="R37" s="7">
        <f t="shared" si="9"/>
        <v>28.936823747819002</v>
      </c>
    </row>
    <row r="38" spans="10:18" x14ac:dyDescent="0.3">
      <c r="J38" s="3" t="s">
        <v>10</v>
      </c>
      <c r="K38" s="7">
        <f>kg!$J$6</f>
        <v>17242</v>
      </c>
      <c r="L38" s="7">
        <f>'Single Exponen'!$J$23</f>
        <v>15762.945099903998</v>
      </c>
      <c r="M38" s="7">
        <f>'Double Exponen'!$J$23</f>
        <v>14795.7540944128</v>
      </c>
      <c r="N38" s="7">
        <f>'Konstanta a'!$J$23</f>
        <v>16730.136105395199</v>
      </c>
      <c r="O38" s="7">
        <f>'Konstanta b'!$J$23</f>
        <v>644.79400366079915</v>
      </c>
      <c r="P38" s="7">
        <f>Peramalan!$J$23</f>
        <v>15820.155848319999</v>
      </c>
      <c r="Q38" s="7">
        <f t="shared" si="8"/>
        <v>8.2463992093724698</v>
      </c>
      <c r="R38" s="7">
        <f t="shared" si="9"/>
        <v>8.2463992093724698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Exponen'!$K$23</f>
        <v>23524.647059942399</v>
      </c>
      <c r="M39" s="7">
        <f>'Double Exponen'!$K$23</f>
        <v>18287.311280624639</v>
      </c>
      <c r="N39" s="7">
        <f>'Konstanta a'!$K$23</f>
        <v>28761.982839260159</v>
      </c>
      <c r="O39" s="7">
        <f>'Konstanta b'!$K$23</f>
        <v>3491.5571862118404</v>
      </c>
      <c r="P39" s="7">
        <f>Peramalan!$K$23</f>
        <v>17374.930109055997</v>
      </c>
      <c r="Q39" s="7">
        <f t="shared" si="8"/>
        <v>50.59336509856913</v>
      </c>
      <c r="R39" s="7">
        <f t="shared" si="9"/>
        <v>50.59336509856913</v>
      </c>
    </row>
    <row r="40" spans="10:18" x14ac:dyDescent="0.3">
      <c r="J40" s="3" t="s">
        <v>12</v>
      </c>
      <c r="K40" s="7">
        <f>kg!$L$6</f>
        <v>6543.4</v>
      </c>
      <c r="L40" s="7">
        <f>'Single Exponen'!$L$23</f>
        <v>16732.14823596544</v>
      </c>
      <c r="M40" s="7">
        <f>'Double Exponen'!$L$23</f>
        <v>17665.246062760962</v>
      </c>
      <c r="N40" s="7">
        <f>'Konstanta a'!$L$23</f>
        <v>15799.050409169919</v>
      </c>
      <c r="O40" s="7">
        <f>'Konstanta b'!$L$23</f>
        <v>-622.06521786368114</v>
      </c>
      <c r="P40" s="7">
        <f>Peramalan!$L$23</f>
        <v>32253.540025472001</v>
      </c>
      <c r="Q40" s="7">
        <f t="shared" si="8"/>
        <v>-392.91713826866766</v>
      </c>
      <c r="R40" s="7">
        <f t="shared" si="9"/>
        <v>392.91713826866766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Exponen'!$M$23</f>
        <v>13399.904941579263</v>
      </c>
      <c r="M41" s="7">
        <f>'Double Exponen'!$M$23</f>
        <v>15959.109614288282</v>
      </c>
      <c r="N41" s="7">
        <f>'Konstanta a'!$M$23</f>
        <v>10840.700268870245</v>
      </c>
      <c r="O41" s="7">
        <f>'Konstanta b'!$M$23</f>
        <v>-1706.1364484726789</v>
      </c>
      <c r="P41" s="7">
        <f>Peramalan!$M$23</f>
        <v>15176.985191306238</v>
      </c>
      <c r="Q41" s="7">
        <f t="shared" si="8"/>
        <v>-80.645276833845188</v>
      </c>
      <c r="R41" s="7">
        <f t="shared" si="9"/>
        <v>80.645276833845188</v>
      </c>
    </row>
    <row r="42" spans="10:18" x14ac:dyDescent="0.3">
      <c r="Q42" s="6">
        <f>(SUM(Q31:Q41)/12)</f>
        <v>-72.282092810040126</v>
      </c>
      <c r="R42" s="6">
        <f>(SUM(R31:R41)/12)</f>
        <v>108.69108729006838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7FA0-84F9-4052-B8D7-14C69371E4EF}">
  <dimension ref="A1:AA42"/>
  <sheetViews>
    <sheetView workbookViewId="0">
      <selection activeCell="T1" sqref="T1:AA1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5" width="9.44140625" style="1" bestFit="1" customWidth="1"/>
    <col min="6" max="6" width="9.109375" style="1" bestFit="1" customWidth="1"/>
    <col min="7" max="7" width="9.44140625" style="1" bestFit="1" customWidth="1"/>
    <col min="8" max="8" width="7.109375" style="1" bestFit="1" customWidth="1"/>
    <col min="9" max="9" width="6.44140625" style="1" bestFit="1" customWidth="1"/>
    <col min="10" max="10" width="13.6640625" style="1" bestFit="1" customWidth="1"/>
    <col min="11" max="14" width="9.44140625" style="1" bestFit="1" customWidth="1"/>
    <col min="15" max="15" width="9.109375" style="1" bestFit="1" customWidth="1"/>
    <col min="16" max="16" width="9.44140625" style="1" bestFit="1" customWidth="1"/>
    <col min="17" max="17" width="7.109375" style="1" bestFit="1" customWidth="1"/>
    <col min="18" max="18" width="6.44140625" style="1" bestFit="1" customWidth="1"/>
    <col min="19" max="19" width="14.109375" style="1" bestFit="1" customWidth="1"/>
    <col min="20" max="23" width="8.44140625" style="1" bestFit="1" customWidth="1"/>
    <col min="24" max="24" width="9.109375" style="1" bestFit="1" customWidth="1"/>
    <col min="25" max="25" width="8.4414062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Exponen'!$B$26</f>
        <v>12588.09</v>
      </c>
      <c r="D2" s="7">
        <f>'Double Exponen'!$B$26</f>
        <v>12588.09</v>
      </c>
      <c r="E2" s="7">
        <f>'Konstanta a'!$B$26</f>
        <v>12588.09</v>
      </c>
      <c r="F2" s="7">
        <f>'Konstanta b'!$B$26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Exponen'!$B$27</f>
        <v>459915.78</v>
      </c>
      <c r="M2" s="7">
        <f>'Double Exponen'!$B$27</f>
        <v>459915.78</v>
      </c>
      <c r="N2" s="7">
        <f>'Konstanta a'!$B$27</f>
        <v>459915.78</v>
      </c>
      <c r="O2" s="7">
        <f>'Konstanta b'!$B$27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Exponen'!$B$30</f>
        <v>1033.08</v>
      </c>
      <c r="V2" s="7">
        <f>'Double Exponen'!$B$30</f>
        <v>1033.08</v>
      </c>
      <c r="W2" s="7">
        <f>'Konstanta a'!$B$30</f>
        <v>1033.08</v>
      </c>
      <c r="X2" s="7">
        <f>'Konstanta b'!$B$30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Exponen'!$C$26</f>
        <v>8688.92</v>
      </c>
      <c r="D3" s="7">
        <f>'Double Exponen'!$C$26</f>
        <v>10638.505000000001</v>
      </c>
      <c r="E3" s="7">
        <f>'Konstanta a'!$C$26</f>
        <v>6739.3349999999991</v>
      </c>
      <c r="F3" s="7">
        <f>'Konstanta b'!$C$26</f>
        <v>-1949.5850000000009</v>
      </c>
      <c r="G3" s="7">
        <f>Peramalan!$C$26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Exponen'!$C$27</f>
        <v>428568.27</v>
      </c>
      <c r="M3" s="7">
        <f>'Double Exponen'!$C$27</f>
        <v>444242.02500000002</v>
      </c>
      <c r="N3" s="7">
        <f>'Konstanta a'!$C$27</f>
        <v>412894.51500000001</v>
      </c>
      <c r="O3" s="7">
        <f>'Konstanta b'!$C$27</f>
        <v>-15673.755000000005</v>
      </c>
      <c r="P3" s="7">
        <f>Peramalan!$C$27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Exponen'!$C$30</f>
        <v>13255.509999999998</v>
      </c>
      <c r="V3" s="7">
        <f>'Double Exponen'!$C$30</f>
        <v>7144.2949999999992</v>
      </c>
      <c r="W3" s="7">
        <f>'Konstanta a'!$C$30</f>
        <v>19366.724999999999</v>
      </c>
      <c r="X3" s="7">
        <f>'Konstanta b'!$C$30</f>
        <v>6111.2149999999992</v>
      </c>
      <c r="Y3" s="7">
        <f>Peramalan!$C$30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Exponen'!$D$26</f>
        <v>14857.380000000001</v>
      </c>
      <c r="D4" s="7">
        <f>'Double Exponen'!$D$26</f>
        <v>12747.942500000001</v>
      </c>
      <c r="E4" s="7">
        <f>'Konstanta a'!$D$26</f>
        <v>16966.817500000001</v>
      </c>
      <c r="F4" s="7">
        <f>'Konstanta b'!$D$26</f>
        <v>2109.4375</v>
      </c>
      <c r="G4" s="7">
        <f>Peramalan!$D$26</f>
        <v>4789.7499999999982</v>
      </c>
      <c r="H4" s="7">
        <f t="shared" ref="H4:H13" si="0">((B4-G4)/B4)*100</f>
        <v>77.219697286767158</v>
      </c>
      <c r="I4" s="7">
        <f t="shared" ref="I4:I13" si="1">ABS((B4-G4)/B4)*100</f>
        <v>77.219697286767158</v>
      </c>
      <c r="J4" s="3" t="s">
        <v>4</v>
      </c>
      <c r="K4" s="7">
        <f>kg!$D$4</f>
        <v>389238.98</v>
      </c>
      <c r="L4" s="7">
        <f>'Single Exponen'!$D$27</f>
        <v>408903.625</v>
      </c>
      <c r="M4" s="7">
        <f>'Double Exponen'!$D$27</f>
        <v>426572.82500000001</v>
      </c>
      <c r="N4" s="7">
        <f>'Konstanta a'!$D$27</f>
        <v>391234.42499999999</v>
      </c>
      <c r="O4" s="7">
        <f>'Konstanta b'!$D$27</f>
        <v>-17669.200000000012</v>
      </c>
      <c r="P4" s="7">
        <f>Peramalan!$D$27</f>
        <v>397220.76</v>
      </c>
      <c r="Q4" s="7">
        <f t="shared" ref="Q4:Q13" si="2">((K4-P4)/K4)*100</f>
        <v>-2.0506116833416907</v>
      </c>
      <c r="R4" s="7">
        <f t="shared" ref="R4:R13" si="3">ABS((K4-P4)/K4)*100</f>
        <v>2.0506116833416907</v>
      </c>
      <c r="S4" s="3" t="s">
        <v>4</v>
      </c>
      <c r="T4" s="7">
        <f>kg!$D$7</f>
        <v>19497.02</v>
      </c>
      <c r="U4" s="7">
        <f>'Single Exponen'!$D$30</f>
        <v>16376.264999999999</v>
      </c>
      <c r="V4" s="7">
        <f>'Double Exponen'!$D$30</f>
        <v>11760.279999999999</v>
      </c>
      <c r="W4" s="7">
        <f>'Konstanta a'!$D$30</f>
        <v>20992.25</v>
      </c>
      <c r="X4" s="7">
        <f>'Konstanta b'!$D$30</f>
        <v>4615.9850000000006</v>
      </c>
      <c r="Y4" s="7">
        <f>Peramalan!$D$30</f>
        <v>25477.94</v>
      </c>
      <c r="Z4" s="7">
        <f t="shared" ref="Z4:Z13" si="4">((T4-Y4)/T4)*100</f>
        <v>-30.676072548522793</v>
      </c>
      <c r="AA4" s="7">
        <f t="shared" ref="AA4:AA13" si="5">ABS((T4-Y4)/T4)*100</f>
        <v>30.676072548522793</v>
      </c>
    </row>
    <row r="5" spans="1:27" x14ac:dyDescent="0.3">
      <c r="A5" s="3" t="s">
        <v>5</v>
      </c>
      <c r="B5" s="7">
        <f>kg!$E$3</f>
        <v>11100.97</v>
      </c>
      <c r="C5" s="7">
        <f>'Single Exponen'!$E$26</f>
        <v>12979.174999999999</v>
      </c>
      <c r="D5" s="7">
        <f>'Double Exponen'!$E$26</f>
        <v>12863.55875</v>
      </c>
      <c r="E5" s="7">
        <f>'Konstanta a'!$E$26</f>
        <v>13094.791249999998</v>
      </c>
      <c r="F5" s="7">
        <f>'Konstanta b'!$E$26</f>
        <v>115.61624999999913</v>
      </c>
      <c r="G5" s="7">
        <f>Peramalan!$E$26</f>
        <v>19076.255000000001</v>
      </c>
      <c r="H5" s="7">
        <f t="shared" si="0"/>
        <v>-71.843136230437537</v>
      </c>
      <c r="I5" s="7">
        <f t="shared" si="1"/>
        <v>71.843136230437537</v>
      </c>
      <c r="J5" s="3" t="s">
        <v>5</v>
      </c>
      <c r="K5" s="7">
        <f>kg!$E$4</f>
        <v>505904.1</v>
      </c>
      <c r="L5" s="7">
        <f>'Single Exponen'!$E$27</f>
        <v>457403.86249999999</v>
      </c>
      <c r="M5" s="7">
        <f>'Double Exponen'!$E$27</f>
        <v>441988.34375</v>
      </c>
      <c r="N5" s="7">
        <f>'Konstanta a'!$E$27</f>
        <v>472819.38124999998</v>
      </c>
      <c r="O5" s="7">
        <f>'Konstanta b'!$E$27</f>
        <v>15415.518749999988</v>
      </c>
      <c r="P5" s="7">
        <f>Peramalan!$E$27</f>
        <v>373565.22499999998</v>
      </c>
      <c r="Q5" s="7">
        <f t="shared" si="2"/>
        <v>26.158885646508896</v>
      </c>
      <c r="R5" s="7">
        <f t="shared" si="3"/>
        <v>26.158885646508896</v>
      </c>
      <c r="S5" s="3" t="s">
        <v>5</v>
      </c>
      <c r="T5" s="7">
        <f>kg!$E$7</f>
        <v>18855.900000000001</v>
      </c>
      <c r="U5" s="7">
        <f>'Single Exponen'!$E$30</f>
        <v>17616.0825</v>
      </c>
      <c r="V5" s="7">
        <f>'Double Exponen'!$E$30</f>
        <v>14688.18125</v>
      </c>
      <c r="W5" s="7">
        <f>'Konstanta a'!$E$30</f>
        <v>20543.983749999999</v>
      </c>
      <c r="X5" s="7">
        <f>'Konstanta b'!$E$30</f>
        <v>2927.9012500000008</v>
      </c>
      <c r="Y5" s="7">
        <f>Peramalan!$E$30</f>
        <v>25608.235000000001</v>
      </c>
      <c r="Z5" s="7">
        <f t="shared" si="4"/>
        <v>-35.810197338763992</v>
      </c>
      <c r="AA5" s="7">
        <f t="shared" si="5"/>
        <v>35.810197338763992</v>
      </c>
    </row>
    <row r="6" spans="1:27" x14ac:dyDescent="0.3">
      <c r="A6" s="3" t="s">
        <v>6</v>
      </c>
      <c r="B6" s="7">
        <f>kg!$F$3</f>
        <v>9095.66</v>
      </c>
      <c r="C6" s="7">
        <f>'Single Exponen'!$F$26</f>
        <v>11037.4175</v>
      </c>
      <c r="D6" s="7">
        <f>'Double Exponen'!$F$26</f>
        <v>11950.488125</v>
      </c>
      <c r="E6" s="7">
        <f>'Konstanta a'!$F$26</f>
        <v>10124.346874999999</v>
      </c>
      <c r="F6" s="7">
        <f>'Konstanta b'!$F$26</f>
        <v>-913.07062500000029</v>
      </c>
      <c r="G6" s="7">
        <f>Peramalan!$F$26</f>
        <v>13210.407499999998</v>
      </c>
      <c r="H6" s="7">
        <f t="shared" si="0"/>
        <v>-45.238580817664662</v>
      </c>
      <c r="I6" s="7">
        <f t="shared" si="1"/>
        <v>45.238580817664662</v>
      </c>
      <c r="J6" s="3" t="s">
        <v>6</v>
      </c>
      <c r="K6" s="7">
        <f>kg!$F$4</f>
        <v>201079.58</v>
      </c>
      <c r="L6" s="7">
        <f>'Single Exponen'!$F$27</f>
        <v>329241.72125</v>
      </c>
      <c r="M6" s="7">
        <f>'Double Exponen'!$F$27</f>
        <v>385615.03249999997</v>
      </c>
      <c r="N6" s="7">
        <f>'Konstanta a'!$F$27</f>
        <v>272868.41000000003</v>
      </c>
      <c r="O6" s="7">
        <f>'Konstanta b'!$F$27</f>
        <v>-56373.31124999997</v>
      </c>
      <c r="P6" s="7">
        <f>Peramalan!$F$27</f>
        <v>488234.89999999997</v>
      </c>
      <c r="Q6" s="7">
        <f t="shared" si="2"/>
        <v>-142.80680315723754</v>
      </c>
      <c r="R6" s="7">
        <f t="shared" si="3"/>
        <v>142.80680315723754</v>
      </c>
      <c r="S6" s="3" t="s">
        <v>6</v>
      </c>
      <c r="T6" s="7">
        <f>kg!$F$7</f>
        <v>26851.599999999999</v>
      </c>
      <c r="U6" s="7">
        <f>'Single Exponen'!$F$30</f>
        <v>22233.841249999998</v>
      </c>
      <c r="V6" s="7">
        <f>'Double Exponen'!$F$30</f>
        <v>18461.01125</v>
      </c>
      <c r="W6" s="7">
        <f>'Konstanta a'!$F$30</f>
        <v>26006.671249999996</v>
      </c>
      <c r="X6" s="7">
        <f>'Konstanta b'!$F$30</f>
        <v>3772.8299999999981</v>
      </c>
      <c r="Y6" s="7">
        <f>Peramalan!$F$30</f>
        <v>23471.885000000002</v>
      </c>
      <c r="Z6" s="7">
        <f t="shared" si="4"/>
        <v>12.586642881615981</v>
      </c>
      <c r="AA6" s="7">
        <f t="shared" si="5"/>
        <v>12.586642881615981</v>
      </c>
    </row>
    <row r="7" spans="1:27" x14ac:dyDescent="0.3">
      <c r="A7" s="3" t="s">
        <v>7</v>
      </c>
      <c r="B7" s="7">
        <f>kg!$G$3</f>
        <v>8185.36</v>
      </c>
      <c r="C7" s="7">
        <f>'Single Exponen'!$G$26</f>
        <v>9611.3887500000001</v>
      </c>
      <c r="D7" s="7">
        <f>'Double Exponen'!$G$26</f>
        <v>10780.938437500001</v>
      </c>
      <c r="E7" s="7">
        <f>'Konstanta a'!$G$26</f>
        <v>8441.8390624999993</v>
      </c>
      <c r="F7" s="7">
        <f>'Konstanta b'!$G$26</f>
        <v>-1169.5496875000008</v>
      </c>
      <c r="G7" s="7">
        <f>Peramalan!$G$26</f>
        <v>9211.276249999999</v>
      </c>
      <c r="H7" s="7">
        <f t="shared" si="0"/>
        <v>-12.533550754029138</v>
      </c>
      <c r="I7" s="7">
        <f t="shared" si="1"/>
        <v>12.533550754029138</v>
      </c>
      <c r="J7" s="3" t="s">
        <v>7</v>
      </c>
      <c r="K7" s="7">
        <f>kg!$G$4</f>
        <v>378271.8</v>
      </c>
      <c r="L7" s="7">
        <f>'Single Exponen'!$G$27</f>
        <v>353756.760625</v>
      </c>
      <c r="M7" s="7">
        <f>'Double Exponen'!$G$27</f>
        <v>369685.89656249998</v>
      </c>
      <c r="N7" s="7">
        <f>'Konstanta a'!$G$27</f>
        <v>337827.62468750001</v>
      </c>
      <c r="O7" s="7">
        <f>'Konstanta b'!$G$27</f>
        <v>-15929.135937499988</v>
      </c>
      <c r="P7" s="7">
        <f>Peramalan!$G$27</f>
        <v>216495.09875000006</v>
      </c>
      <c r="Q7" s="7">
        <f t="shared" si="2"/>
        <v>42.767317376024309</v>
      </c>
      <c r="R7" s="7">
        <f t="shared" si="3"/>
        <v>42.767317376024309</v>
      </c>
      <c r="S7" s="3" t="s">
        <v>7</v>
      </c>
      <c r="T7" s="7">
        <f>kg!$G$7</f>
        <v>17468.29</v>
      </c>
      <c r="U7" s="7">
        <f>'Single Exponen'!$G$30</f>
        <v>19851.065624999999</v>
      </c>
      <c r="V7" s="7">
        <f>'Double Exponen'!$G$30</f>
        <v>19156.038437499999</v>
      </c>
      <c r="W7" s="7">
        <f>'Konstanta a'!$G$30</f>
        <v>20546.092812499999</v>
      </c>
      <c r="X7" s="7">
        <f>'Konstanta b'!$G$30</f>
        <v>695.02718749999985</v>
      </c>
      <c r="Y7" s="7">
        <f>Peramalan!$G$30</f>
        <v>29779.501249999994</v>
      </c>
      <c r="Z7" s="7">
        <f t="shared" si="4"/>
        <v>-70.477483772023433</v>
      </c>
      <c r="AA7" s="7">
        <f t="shared" si="5"/>
        <v>70.477483772023433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Exponen'!$H$26</f>
        <v>13938.394375</v>
      </c>
      <c r="D8" s="7">
        <f>'Double Exponen'!$H$26</f>
        <v>12359.66640625</v>
      </c>
      <c r="E8" s="7">
        <f>'Konstanta a'!$H$26</f>
        <v>15517.122343749999</v>
      </c>
      <c r="F8" s="7">
        <f>'Konstanta b'!$H$26</f>
        <v>1578.7279687499995</v>
      </c>
      <c r="G8" s="7">
        <f>Peramalan!$H$26</f>
        <v>7272.2893749999985</v>
      </c>
      <c r="H8" s="7">
        <f t="shared" si="0"/>
        <v>60.185435988261972</v>
      </c>
      <c r="I8" s="7">
        <f t="shared" si="1"/>
        <v>60.185435988261972</v>
      </c>
      <c r="J8" s="3" t="s">
        <v>8</v>
      </c>
      <c r="K8" s="7">
        <f>kg!$H$4</f>
        <v>463478.68</v>
      </c>
      <c r="L8" s="7">
        <f>'Single Exponen'!$H$27</f>
        <v>408617.72031250002</v>
      </c>
      <c r="M8" s="7">
        <f>'Double Exponen'!$H$27</f>
        <v>389151.80843750003</v>
      </c>
      <c r="N8" s="7">
        <f>'Konstanta a'!$H$27</f>
        <v>428083.63218750001</v>
      </c>
      <c r="O8" s="7">
        <f>'Konstanta b'!$H$27</f>
        <v>19465.911874999991</v>
      </c>
      <c r="P8" s="7">
        <f>Peramalan!$H$27</f>
        <v>321898.48875000002</v>
      </c>
      <c r="Q8" s="7">
        <f t="shared" si="2"/>
        <v>30.547293189408403</v>
      </c>
      <c r="R8" s="7">
        <f t="shared" si="3"/>
        <v>30.547293189408403</v>
      </c>
      <c r="S8" s="3" t="s">
        <v>8</v>
      </c>
      <c r="T8" s="7">
        <f>kg!$H$7</f>
        <v>53358.239999999998</v>
      </c>
      <c r="U8" s="7">
        <f>'Single Exponen'!$H$30</f>
        <v>36604.652812499997</v>
      </c>
      <c r="V8" s="7">
        <f>'Double Exponen'!$H$30</f>
        <v>27880.345624999998</v>
      </c>
      <c r="W8" s="7">
        <f>'Konstanta a'!$H$30</f>
        <v>45328.959999999992</v>
      </c>
      <c r="X8" s="7">
        <f>'Konstanta b'!$H$30</f>
        <v>8724.3071874999987</v>
      </c>
      <c r="Y8" s="7">
        <f>Peramalan!$H$30</f>
        <v>21241.119999999999</v>
      </c>
      <c r="Z8" s="7">
        <f t="shared" si="4"/>
        <v>60.191490573901987</v>
      </c>
      <c r="AA8" s="7">
        <f t="shared" si="5"/>
        <v>60.191490573901987</v>
      </c>
    </row>
    <row r="9" spans="1:27" x14ac:dyDescent="0.3">
      <c r="A9" s="3" t="s">
        <v>9</v>
      </c>
      <c r="B9" s="7">
        <f>kg!$I$3</f>
        <v>11044.68</v>
      </c>
      <c r="C9" s="7">
        <f>'Single Exponen'!$I$26</f>
        <v>12491.5371875</v>
      </c>
      <c r="D9" s="7">
        <f>'Double Exponen'!$I$26</f>
        <v>12425.601796875</v>
      </c>
      <c r="E9" s="7">
        <f>'Konstanta a'!$I$26</f>
        <v>12557.472578125</v>
      </c>
      <c r="F9" s="7">
        <f>'Konstanta b'!$I$26</f>
        <v>65.935390624999854</v>
      </c>
      <c r="G9" s="7">
        <f>Peramalan!$I$26</f>
        <v>17095.850312499999</v>
      </c>
      <c r="H9" s="7">
        <f t="shared" si="0"/>
        <v>-54.788099904207257</v>
      </c>
      <c r="I9" s="7">
        <f t="shared" si="1"/>
        <v>54.788099904207257</v>
      </c>
      <c r="J9" s="3" t="s">
        <v>9</v>
      </c>
      <c r="K9" s="7">
        <f>kg!$I$4</f>
        <v>511860.86</v>
      </c>
      <c r="L9" s="7">
        <f>'Single Exponen'!$I$27</f>
        <v>460239.29015625</v>
      </c>
      <c r="M9" s="7">
        <f>'Double Exponen'!$I$27</f>
        <v>424695.54929687502</v>
      </c>
      <c r="N9" s="7">
        <f>'Konstanta a'!$I$27</f>
        <v>495783.03101562499</v>
      </c>
      <c r="O9" s="7">
        <f>'Konstanta b'!$I$27</f>
        <v>35543.740859374986</v>
      </c>
      <c r="P9" s="7">
        <f>Peramalan!$I$27</f>
        <v>447549.5440625</v>
      </c>
      <c r="Q9" s="7">
        <f t="shared" si="2"/>
        <v>12.56421831852898</v>
      </c>
      <c r="R9" s="7">
        <f t="shared" si="3"/>
        <v>12.56421831852898</v>
      </c>
      <c r="S9" s="3" t="s">
        <v>9</v>
      </c>
      <c r="T9" s="7">
        <f>kg!$I$7</f>
        <v>31973.26</v>
      </c>
      <c r="U9" s="7">
        <f>'Single Exponen'!$I$30</f>
        <v>34288.956406249999</v>
      </c>
      <c r="V9" s="7">
        <f>'Double Exponen'!$I$30</f>
        <v>31084.651015625001</v>
      </c>
      <c r="W9" s="7">
        <f>'Konstanta a'!$I$30</f>
        <v>37493.261796874998</v>
      </c>
      <c r="X9" s="7">
        <f>'Konstanta b'!$I$30</f>
        <v>3204.3053906249988</v>
      </c>
      <c r="Y9" s="7">
        <f>Peramalan!$I$30</f>
        <v>54053.267187499994</v>
      </c>
      <c r="Z9" s="7">
        <f t="shared" si="4"/>
        <v>-69.057728825587375</v>
      </c>
      <c r="AA9" s="7">
        <f t="shared" si="5"/>
        <v>69.057728825587375</v>
      </c>
    </row>
    <row r="10" spans="1:27" x14ac:dyDescent="0.3">
      <c r="A10" s="3" t="s">
        <v>10</v>
      </c>
      <c r="B10" s="7">
        <f>kg!$J$3</f>
        <v>10889.55</v>
      </c>
      <c r="C10" s="7">
        <f>'Single Exponen'!$J$26</f>
        <v>11690.543593750001</v>
      </c>
      <c r="D10" s="7">
        <f>'Double Exponen'!$J$26</f>
        <v>12058.072695312501</v>
      </c>
      <c r="E10" s="7">
        <f>'Konstanta a'!$J$26</f>
        <v>11323.0144921875</v>
      </c>
      <c r="F10" s="7">
        <f>'Konstanta b'!$J$26</f>
        <v>-367.52910156250073</v>
      </c>
      <c r="G10" s="7">
        <f>Peramalan!$J$26</f>
        <v>12623.40796875</v>
      </c>
      <c r="H10" s="7">
        <f t="shared" si="0"/>
        <v>-15.922218721159281</v>
      </c>
      <c r="I10" s="7">
        <f t="shared" si="1"/>
        <v>15.922218721159281</v>
      </c>
      <c r="J10" s="3" t="s">
        <v>10</v>
      </c>
      <c r="K10" s="7">
        <f>kg!$J$4</f>
        <v>513170.2</v>
      </c>
      <c r="L10" s="7">
        <f>'Single Exponen'!$J$27</f>
        <v>486704.74507812504</v>
      </c>
      <c r="M10" s="7">
        <f>'Double Exponen'!$J$27</f>
        <v>455700.14718750003</v>
      </c>
      <c r="N10" s="7">
        <f>'Konstanta a'!$J$27</f>
        <v>517709.34296875005</v>
      </c>
      <c r="O10" s="7">
        <f>'Konstanta b'!$J$27</f>
        <v>31004.597890625009</v>
      </c>
      <c r="P10" s="7">
        <f>Peramalan!$J$27</f>
        <v>531326.77187499998</v>
      </c>
      <c r="Q10" s="7">
        <f t="shared" si="2"/>
        <v>-3.5381189077230055</v>
      </c>
      <c r="R10" s="7">
        <f t="shared" si="3"/>
        <v>3.5381189077230055</v>
      </c>
      <c r="S10" s="3" t="s">
        <v>10</v>
      </c>
      <c r="T10" s="7">
        <f>kg!$J$7</f>
        <v>28522.799999999999</v>
      </c>
      <c r="U10" s="7">
        <f>'Single Exponen'!$J$30</f>
        <v>31405.878203125001</v>
      </c>
      <c r="V10" s="7">
        <f>'Double Exponen'!$J$30</f>
        <v>31245.264609375001</v>
      </c>
      <c r="W10" s="7">
        <f>'Konstanta a'!$J$30</f>
        <v>31566.491796875001</v>
      </c>
      <c r="X10" s="7">
        <f>'Konstanta b'!$J$30</f>
        <v>160.61359375000029</v>
      </c>
      <c r="Y10" s="7">
        <f>Peramalan!$J$30</f>
        <v>40697.567187499997</v>
      </c>
      <c r="Z10" s="7">
        <f t="shared" si="4"/>
        <v>-42.684333892535086</v>
      </c>
      <c r="AA10" s="7">
        <f t="shared" si="5"/>
        <v>42.684333892535086</v>
      </c>
    </row>
    <row r="11" spans="1:27" x14ac:dyDescent="0.3">
      <c r="A11" s="3" t="s">
        <v>11</v>
      </c>
      <c r="B11" s="7">
        <f>kg!$K$3</f>
        <v>8406.34</v>
      </c>
      <c r="C11" s="7">
        <f>'Single Exponen'!$K$26</f>
        <v>10048.441796875</v>
      </c>
      <c r="D11" s="7">
        <f>'Double Exponen'!$K$26</f>
        <v>11053.257246093752</v>
      </c>
      <c r="E11" s="7">
        <f>'Konstanta a'!$K$26</f>
        <v>9043.626347656249</v>
      </c>
      <c r="F11" s="7">
        <f>'Konstanta b'!$K$26</f>
        <v>-1004.8154492187514</v>
      </c>
      <c r="G11" s="7">
        <f>Peramalan!$K$26</f>
        <v>10955.485390624999</v>
      </c>
      <c r="H11" s="7">
        <f t="shared" si="0"/>
        <v>-30.324081474518028</v>
      </c>
      <c r="I11" s="7">
        <f t="shared" si="1"/>
        <v>30.324081474518028</v>
      </c>
      <c r="J11" s="3" t="s">
        <v>11</v>
      </c>
      <c r="K11" s="7">
        <f>kg!$K$4</f>
        <v>525723.46</v>
      </c>
      <c r="L11" s="7">
        <f>'Single Exponen'!$K$27</f>
        <v>506214.1025390625</v>
      </c>
      <c r="M11" s="7">
        <f>'Double Exponen'!$K$27</f>
        <v>480957.12486328126</v>
      </c>
      <c r="N11" s="7">
        <f>'Konstanta a'!$K$27</f>
        <v>531471.08021484374</v>
      </c>
      <c r="O11" s="7">
        <f>'Konstanta b'!$K$27</f>
        <v>25256.977675781236</v>
      </c>
      <c r="P11" s="7">
        <f>Peramalan!$K$27</f>
        <v>548713.94085937506</v>
      </c>
      <c r="Q11" s="7">
        <f t="shared" si="2"/>
        <v>-4.3731129783280158</v>
      </c>
      <c r="R11" s="7">
        <f t="shared" si="3"/>
        <v>4.3731129783280158</v>
      </c>
      <c r="S11" s="3" t="s">
        <v>11</v>
      </c>
      <c r="T11" s="7">
        <f>kg!$K$7</f>
        <v>51078.26</v>
      </c>
      <c r="U11" s="7">
        <f>'Single Exponen'!$K$30</f>
        <v>41242.069101562505</v>
      </c>
      <c r="V11" s="7">
        <f>'Double Exponen'!$K$30</f>
        <v>36243.666855468749</v>
      </c>
      <c r="W11" s="7">
        <f>'Konstanta a'!$K$30</f>
        <v>46240.471347656261</v>
      </c>
      <c r="X11" s="7">
        <f>'Konstanta b'!$K$30</f>
        <v>4998.4022460937558</v>
      </c>
      <c r="Y11" s="7">
        <f>Peramalan!$K$30</f>
        <v>31727.105390625002</v>
      </c>
      <c r="Z11" s="7">
        <f t="shared" si="4"/>
        <v>37.885305038533026</v>
      </c>
      <c r="AA11" s="7">
        <f t="shared" si="5"/>
        <v>37.885305038533026</v>
      </c>
    </row>
    <row r="12" spans="1:27" x14ac:dyDescent="0.3">
      <c r="A12" s="3" t="s">
        <v>12</v>
      </c>
      <c r="B12" s="7">
        <f>kg!$L$3</f>
        <v>18149.95</v>
      </c>
      <c r="C12" s="7">
        <f>'Single Exponen'!$L$26</f>
        <v>14099.195898437501</v>
      </c>
      <c r="D12" s="7">
        <f>'Double Exponen'!$L$26</f>
        <v>12576.226572265627</v>
      </c>
      <c r="E12" s="7">
        <f>'Konstanta a'!$L$26</f>
        <v>15622.165224609376</v>
      </c>
      <c r="F12" s="7">
        <f>'Konstanta b'!$L$26</f>
        <v>1522.9693261718749</v>
      </c>
      <c r="G12" s="7">
        <f>Peramalan!$L$26</f>
        <v>8038.8108984374976</v>
      </c>
      <c r="H12" s="7">
        <f t="shared" si="0"/>
        <v>55.708908848578112</v>
      </c>
      <c r="I12" s="7">
        <f t="shared" si="1"/>
        <v>55.708908848578112</v>
      </c>
      <c r="J12" s="3" t="s">
        <v>12</v>
      </c>
      <c r="K12" s="7">
        <f>kg!$L$4</f>
        <v>480711.96</v>
      </c>
      <c r="L12" s="7">
        <f>'Single Exponen'!$L$27</f>
        <v>493463.03126953123</v>
      </c>
      <c r="M12" s="7">
        <f>'Double Exponen'!$L$27</f>
        <v>487210.07806640625</v>
      </c>
      <c r="N12" s="7">
        <f>'Konstanta a'!$L$27</f>
        <v>499715.98447265622</v>
      </c>
      <c r="O12" s="7">
        <f>'Konstanta b'!$L$27</f>
        <v>6252.9532031249837</v>
      </c>
      <c r="P12" s="7">
        <f>Peramalan!$L$27</f>
        <v>556728.05789062497</v>
      </c>
      <c r="Q12" s="7">
        <f t="shared" si="2"/>
        <v>-15.813232084058185</v>
      </c>
      <c r="R12" s="7">
        <f t="shared" si="3"/>
        <v>15.813232084058185</v>
      </c>
      <c r="S12" s="3" t="s">
        <v>12</v>
      </c>
      <c r="T12" s="7">
        <f>kg!$L$7</f>
        <v>50149.88</v>
      </c>
      <c r="U12" s="7">
        <f>'Single Exponen'!$L$30</f>
        <v>45695.974550781248</v>
      </c>
      <c r="V12" s="7">
        <f>'Double Exponen'!$L$30</f>
        <v>40969.820703124999</v>
      </c>
      <c r="W12" s="7">
        <f>'Konstanta a'!$L$30</f>
        <v>50422.128398437497</v>
      </c>
      <c r="X12" s="7">
        <f>'Konstanta b'!$L$30</f>
        <v>4726.1538476562491</v>
      </c>
      <c r="Y12" s="7">
        <f>Peramalan!$L$30</f>
        <v>51238.873593750017</v>
      </c>
      <c r="Z12" s="7">
        <f t="shared" si="4"/>
        <v>-2.1714779651517002</v>
      </c>
      <c r="AA12" s="7">
        <f t="shared" si="5"/>
        <v>2.1714779651517002</v>
      </c>
    </row>
    <row r="13" spans="1:27" x14ac:dyDescent="0.3">
      <c r="A13" s="3" t="s">
        <v>13</v>
      </c>
      <c r="B13" s="7">
        <f>kg!$M$3</f>
        <v>11905.39</v>
      </c>
      <c r="C13" s="7">
        <f>'Single Exponen'!$M$26</f>
        <v>13002.29294921875</v>
      </c>
      <c r="D13" s="7">
        <f>'Double Exponen'!$M$26</f>
        <v>12789.259760742189</v>
      </c>
      <c r="E13" s="7">
        <f>'Konstanta a'!$M$26</f>
        <v>13215.326137695312</v>
      </c>
      <c r="F13" s="7">
        <f>'Konstanta b'!$M$26</f>
        <v>213.03318847656192</v>
      </c>
      <c r="G13" s="7">
        <f>Peramalan!$M$26</f>
        <v>17145.134550781251</v>
      </c>
      <c r="H13" s="7">
        <f t="shared" si="0"/>
        <v>-44.011532178124803</v>
      </c>
      <c r="I13" s="7">
        <f t="shared" si="1"/>
        <v>44.011532178124803</v>
      </c>
      <c r="J13" s="3" t="s">
        <v>13</v>
      </c>
      <c r="K13" s="7">
        <f>kg!$M$4</f>
        <v>428532.64</v>
      </c>
      <c r="L13" s="7">
        <f>'Single Exponen'!$M$27</f>
        <v>460997.83563476562</v>
      </c>
      <c r="M13" s="7">
        <f>'Double Exponen'!$M$27</f>
        <v>474103.95685058594</v>
      </c>
      <c r="N13" s="7">
        <f>'Konstanta a'!$M$27</f>
        <v>447891.71441894531</v>
      </c>
      <c r="O13" s="7">
        <f>'Konstanta b'!$M$27</f>
        <v>-13106.121215820313</v>
      </c>
      <c r="P13" s="7">
        <f>Peramalan!$M$27</f>
        <v>505968.9376757812</v>
      </c>
      <c r="Q13" s="7">
        <f t="shared" si="2"/>
        <v>-18.070104922645143</v>
      </c>
      <c r="R13" s="7">
        <f t="shared" si="3"/>
        <v>18.070104922645143</v>
      </c>
      <c r="S13" s="3" t="s">
        <v>13</v>
      </c>
      <c r="T13" s="7">
        <f>kg!$M$7</f>
        <v>42897.42</v>
      </c>
      <c r="U13" s="7">
        <f>'Single Exponen'!$M$30</f>
        <v>44296.697275390623</v>
      </c>
      <c r="V13" s="7">
        <f>'Double Exponen'!$M$30</f>
        <v>42633.258989257811</v>
      </c>
      <c r="W13" s="7">
        <f>'Konstanta a'!$M$30</f>
        <v>45960.135561523435</v>
      </c>
      <c r="X13" s="7">
        <f>'Konstanta b'!$M$30</f>
        <v>1663.4382861328122</v>
      </c>
      <c r="Y13" s="7">
        <f>Peramalan!$M$30</f>
        <v>55148.282246093746</v>
      </c>
      <c r="Z13" s="7">
        <f t="shared" si="4"/>
        <v>-28.558505956987034</v>
      </c>
      <c r="AA13" s="7">
        <f t="shared" si="5"/>
        <v>28.558505956987034</v>
      </c>
    </row>
    <row r="14" spans="1:27" x14ac:dyDescent="0.3">
      <c r="H14" s="6">
        <f>(SUM(H3:H13)/12)</f>
        <v>-20.363354034175515</v>
      </c>
      <c r="I14" s="6">
        <f>(SUM(I3:I13)/12)</f>
        <v>52.549027721443373</v>
      </c>
      <c r="Q14" s="6">
        <f>(SUM(Q3:Q13)/12)</f>
        <v>-7.533140748485768</v>
      </c>
      <c r="R14" s="6">
        <f>(SUM(R3:R13)/12)</f>
        <v>26.206093170230869</v>
      </c>
      <c r="Z14" s="6">
        <f>(SUM(Z3:Z13)/12)</f>
        <v>-6.068930310363073</v>
      </c>
      <c r="AA14" s="6">
        <f>(SUM(AA3:AA13)/12)</f>
        <v>40.503703072898837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Exponen'!$B$28</f>
        <v>23458.3</v>
      </c>
      <c r="M16" s="7">
        <f>'Double Exponen'!$B$28</f>
        <v>23458.3</v>
      </c>
      <c r="N16" s="7">
        <f>'Konstanta a'!$B$28</f>
        <v>23458.3</v>
      </c>
      <c r="O16" s="7">
        <f>'Konstanta b'!$B$28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Exponen'!$C$28</f>
        <v>32837.449999999997</v>
      </c>
      <c r="M17" s="7">
        <f>'Double Exponen'!$C$28</f>
        <v>28147.875</v>
      </c>
      <c r="N17" s="7">
        <f>'Konstanta a'!$C$28</f>
        <v>37527.024999999994</v>
      </c>
      <c r="O17" s="7">
        <f>'Konstanta b'!$C$28</f>
        <v>4689.5749999999971</v>
      </c>
      <c r="P17" s="7">
        <f>Peramalan!$C$28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Exponen'!$D$28</f>
        <v>30794.674999999999</v>
      </c>
      <c r="M18" s="7">
        <f>'Double Exponen'!$D$28</f>
        <v>29471.275000000001</v>
      </c>
      <c r="N18" s="7">
        <f>'Konstanta a'!$D$28</f>
        <v>32118.074999999997</v>
      </c>
      <c r="O18" s="7">
        <f>'Konstanta b'!$D$28</f>
        <v>1323.3999999999978</v>
      </c>
      <c r="P18" s="7">
        <f>Peramalan!$D$28</f>
        <v>42216.599999999991</v>
      </c>
      <c r="Q18" s="7">
        <f t="shared" ref="Q18:Q27" si="6">((K18-P18)/K18)*100</f>
        <v>-46.830644235685256</v>
      </c>
      <c r="R18" s="7">
        <f t="shared" ref="R18:R27" si="7">ABS((K18-P18)/K18)*100</f>
        <v>46.830644235685256</v>
      </c>
    </row>
    <row r="19" spans="10:18" x14ac:dyDescent="0.3">
      <c r="J19" s="3" t="s">
        <v>5</v>
      </c>
      <c r="K19" s="7">
        <f>kg!$E$5</f>
        <v>39376.9</v>
      </c>
      <c r="L19" s="7">
        <f>'Single Exponen'!$E$28</f>
        <v>35085.787499999999</v>
      </c>
      <c r="M19" s="7">
        <f>'Double Exponen'!$E$28</f>
        <v>32278.53125</v>
      </c>
      <c r="N19" s="7">
        <f>'Konstanta a'!$E$28</f>
        <v>37893.043749999997</v>
      </c>
      <c r="O19" s="7">
        <f>'Konstanta b'!$E$28</f>
        <v>2807.2562499999985</v>
      </c>
      <c r="P19" s="7">
        <f>Peramalan!$E$28</f>
        <v>33441.474999999991</v>
      </c>
      <c r="Q19" s="7">
        <f t="shared" si="6"/>
        <v>15.073367888279702</v>
      </c>
      <c r="R19" s="7">
        <f t="shared" si="7"/>
        <v>15.073367888279702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Exponen'!$F$28</f>
        <v>29473.693749999999</v>
      </c>
      <c r="M20" s="7">
        <f>'Double Exponen'!$F$28</f>
        <v>30876.112499999999</v>
      </c>
      <c r="N20" s="7">
        <f>'Konstanta a'!$F$28</f>
        <v>28071.274999999998</v>
      </c>
      <c r="O20" s="7">
        <f>'Konstanta b'!$F$28</f>
        <v>-1402.4187500000007</v>
      </c>
      <c r="P20" s="7">
        <f>Peramalan!$F$28</f>
        <v>40700.299999999996</v>
      </c>
      <c r="Q20" s="7">
        <f t="shared" si="6"/>
        <v>-70.568193247728559</v>
      </c>
      <c r="R20" s="7">
        <f t="shared" si="7"/>
        <v>70.568193247728559</v>
      </c>
    </row>
    <row r="21" spans="10:18" x14ac:dyDescent="0.3">
      <c r="J21" s="3" t="s">
        <v>7</v>
      </c>
      <c r="K21" s="7">
        <f>kg!$G$5</f>
        <v>57216.9</v>
      </c>
      <c r="L21" s="7">
        <f>'Single Exponen'!$G$28</f>
        <v>43345.296875</v>
      </c>
      <c r="M21" s="7">
        <f>'Double Exponen'!$G$28</f>
        <v>37110.704687500001</v>
      </c>
      <c r="N21" s="7">
        <f>'Konstanta a'!$G$28</f>
        <v>49579.889062499999</v>
      </c>
      <c r="O21" s="7">
        <f>'Konstanta b'!$G$28</f>
        <v>6234.5921874999985</v>
      </c>
      <c r="P21" s="7">
        <f>Peramalan!$G$28</f>
        <v>26668.856249999997</v>
      </c>
      <c r="Q21" s="7">
        <f t="shared" si="6"/>
        <v>53.389896603975409</v>
      </c>
      <c r="R21" s="7">
        <f t="shared" si="7"/>
        <v>53.389896603975409</v>
      </c>
    </row>
    <row r="22" spans="10:18" x14ac:dyDescent="0.3">
      <c r="J22" s="3" t="s">
        <v>8</v>
      </c>
      <c r="K22" s="7">
        <f>kg!$H$5</f>
        <v>83736.7</v>
      </c>
      <c r="L22" s="7">
        <f>'Single Exponen'!$H$28</f>
        <v>63540.998437499999</v>
      </c>
      <c r="M22" s="7">
        <f>'Double Exponen'!$H$28</f>
        <v>50325.8515625</v>
      </c>
      <c r="N22" s="7">
        <f>'Konstanta a'!$H$28</f>
        <v>76756.145312499997</v>
      </c>
      <c r="O22" s="7">
        <f>'Konstanta b'!$H$28</f>
        <v>13215.146874999999</v>
      </c>
      <c r="P22" s="7">
        <f>Peramalan!$H$28</f>
        <v>55814.481249999997</v>
      </c>
      <c r="Q22" s="7">
        <f t="shared" si="6"/>
        <v>33.345258112631619</v>
      </c>
      <c r="R22" s="7">
        <f t="shared" si="7"/>
        <v>33.345258112631619</v>
      </c>
    </row>
    <row r="23" spans="10:18" x14ac:dyDescent="0.3">
      <c r="J23" s="3" t="s">
        <v>9</v>
      </c>
      <c r="K23" s="7">
        <f>kg!$I$5</f>
        <v>54053.2</v>
      </c>
      <c r="L23" s="7">
        <f>'Single Exponen'!$I$28</f>
        <v>58797.099218749994</v>
      </c>
      <c r="M23" s="7">
        <f>'Double Exponen'!$I$28</f>
        <v>54561.475390624997</v>
      </c>
      <c r="N23" s="7">
        <f>'Konstanta a'!$I$28</f>
        <v>63032.723046874991</v>
      </c>
      <c r="O23" s="7">
        <f>'Konstanta b'!$I$28</f>
        <v>4235.6238281249971</v>
      </c>
      <c r="P23" s="7">
        <f>Peramalan!$I$28</f>
        <v>89971.292187499988</v>
      </c>
      <c r="Q23" s="7">
        <f t="shared" si="6"/>
        <v>-66.449520449298078</v>
      </c>
      <c r="R23" s="7">
        <f t="shared" si="7"/>
        <v>66.449520449298078</v>
      </c>
    </row>
    <row r="24" spans="10:18" x14ac:dyDescent="0.3">
      <c r="J24" s="3" t="s">
        <v>10</v>
      </c>
      <c r="K24" s="7">
        <f>kg!$J$5</f>
        <v>11264.5</v>
      </c>
      <c r="L24" s="7">
        <f>'Single Exponen'!$J$28</f>
        <v>35030.799609374997</v>
      </c>
      <c r="M24" s="7">
        <f>'Double Exponen'!$J$28</f>
        <v>44796.137499999997</v>
      </c>
      <c r="N24" s="7">
        <f>'Konstanta a'!$J$28</f>
        <v>25265.461718749997</v>
      </c>
      <c r="O24" s="7">
        <f>'Konstanta b'!$J$28</f>
        <v>-9765.337890625</v>
      </c>
      <c r="P24" s="7">
        <f>Peramalan!$J$28</f>
        <v>67268.346874999988</v>
      </c>
      <c r="Q24" s="7">
        <f t="shared" si="6"/>
        <v>-497.17117382040914</v>
      </c>
      <c r="R24" s="7">
        <f t="shared" si="7"/>
        <v>497.17117382040914</v>
      </c>
    </row>
    <row r="25" spans="10:18" x14ac:dyDescent="0.3">
      <c r="J25" s="3" t="s">
        <v>11</v>
      </c>
      <c r="K25" s="7">
        <f>kg!$K$5</f>
        <v>24215</v>
      </c>
      <c r="L25" s="7">
        <f>'Single Exponen'!$K$28</f>
        <v>29622.899804687499</v>
      </c>
      <c r="M25" s="7">
        <f>'Double Exponen'!$K$28</f>
        <v>37209.518652343744</v>
      </c>
      <c r="N25" s="7">
        <f>'Konstanta a'!$K$28</f>
        <v>22036.280957031253</v>
      </c>
      <c r="O25" s="7">
        <f>'Konstanta b'!$K$28</f>
        <v>-7586.6188476562456</v>
      </c>
      <c r="P25" s="7">
        <f>Peramalan!$K$28</f>
        <v>15500.123828124997</v>
      </c>
      <c r="Q25" s="7">
        <f t="shared" si="6"/>
        <v>35.989577418438998</v>
      </c>
      <c r="R25" s="7">
        <f t="shared" si="7"/>
        <v>35.989577418438998</v>
      </c>
    </row>
    <row r="26" spans="10:18" x14ac:dyDescent="0.3">
      <c r="J26" s="3" t="s">
        <v>12</v>
      </c>
      <c r="K26" s="7">
        <f>kg!$L$5</f>
        <v>26860.6</v>
      </c>
      <c r="L26" s="7">
        <f>'Single Exponen'!$L$28</f>
        <v>28241.749902343749</v>
      </c>
      <c r="M26" s="7">
        <f>'Double Exponen'!$L$28</f>
        <v>32725.634277343746</v>
      </c>
      <c r="N26" s="7">
        <f>'Konstanta a'!$L$28</f>
        <v>23757.865527343751</v>
      </c>
      <c r="O26" s="7">
        <f>'Konstanta b'!$L$28</f>
        <v>-4483.8843749999978</v>
      </c>
      <c r="P26" s="7">
        <f>Peramalan!$L$28</f>
        <v>14449.662109375007</v>
      </c>
      <c r="Q26" s="7">
        <f t="shared" si="6"/>
        <v>46.204991290682237</v>
      </c>
      <c r="R26" s="7">
        <f t="shared" si="7"/>
        <v>46.204991290682237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Exponen'!$M$28</f>
        <v>31047.224951171873</v>
      </c>
      <c r="M27" s="7">
        <f>'Double Exponen'!$M$28</f>
        <v>31886.42961425781</v>
      </c>
      <c r="N27" s="7">
        <f>'Konstanta a'!$M$28</f>
        <v>30208.020288085936</v>
      </c>
      <c r="O27" s="7">
        <f>'Konstanta b'!$M$28</f>
        <v>-839.20466308593677</v>
      </c>
      <c r="P27" s="7">
        <f>Peramalan!$M$28</f>
        <v>19273.981152343753</v>
      </c>
      <c r="Q27" s="7">
        <f t="shared" si="6"/>
        <v>43.065158311320054</v>
      </c>
      <c r="R27" s="7">
        <f t="shared" si="7"/>
        <v>43.065158311320054</v>
      </c>
    </row>
    <row r="28" spans="10:18" x14ac:dyDescent="0.3">
      <c r="Q28" s="6">
        <f>(SUM(Q17:Q27)/12)</f>
        <v>-34.126484402415528</v>
      </c>
      <c r="R28" s="6">
        <f>(SUM(R17:R27)/12)</f>
        <v>79.376770889771308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Exponen'!$B$29</f>
        <v>4698.6499999999996</v>
      </c>
      <c r="M30" s="7">
        <f>'Double Exponen'!$B$29</f>
        <v>4698.6499999999996</v>
      </c>
      <c r="N30" s="7">
        <f>'Konstanta a'!$B$29</f>
        <v>4698.6499999999996</v>
      </c>
      <c r="O30" s="7">
        <f>'Konstanta b'!$B$29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Exponen'!$C$29</f>
        <v>6671.8249999999998</v>
      </c>
      <c r="M31" s="7">
        <f>'Double Exponen'!$C$29</f>
        <v>5685.2374999999993</v>
      </c>
      <c r="N31" s="7">
        <f>'Konstanta a'!$C$29</f>
        <v>7658.4125000000004</v>
      </c>
      <c r="O31" s="7">
        <f>'Konstanta b'!$C$29</f>
        <v>986.58750000000055</v>
      </c>
      <c r="P31" s="7">
        <f>Peramalan!$C$29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Exponen'!$D$29</f>
        <v>7330.6374999999998</v>
      </c>
      <c r="M32" s="7">
        <f>'Double Exponen'!$D$29</f>
        <v>6507.9375</v>
      </c>
      <c r="N32" s="7">
        <f>'Konstanta a'!$D$29</f>
        <v>8153.3374999999996</v>
      </c>
      <c r="O32" s="7">
        <f>'Konstanta b'!$D$29</f>
        <v>822.69999999999982</v>
      </c>
      <c r="P32" s="7">
        <f>Peramalan!$D$29</f>
        <v>8645</v>
      </c>
      <c r="Q32" s="7">
        <f t="shared" ref="Q32:Q41" si="8">((K32-P32)/K32)*100</f>
        <v>-8.205195601699744</v>
      </c>
      <c r="R32" s="7">
        <f t="shared" ref="R32:R41" si="9">ABS((K32-P32)/K32)*100</f>
        <v>8.205195601699744</v>
      </c>
    </row>
    <row r="33" spans="10:18" x14ac:dyDescent="0.3">
      <c r="J33" s="3" t="s">
        <v>5</v>
      </c>
      <c r="K33" s="7">
        <f>kg!$E$6</f>
        <v>6543.56</v>
      </c>
      <c r="L33" s="7">
        <f>'Single Exponen'!$E$29</f>
        <v>6937.0987500000001</v>
      </c>
      <c r="M33" s="7">
        <f>'Double Exponen'!$E$29</f>
        <v>6722.5181250000005</v>
      </c>
      <c r="N33" s="7">
        <f>'Konstanta a'!$E$29</f>
        <v>7151.6793749999997</v>
      </c>
      <c r="O33" s="7">
        <f>'Konstanta b'!$E$29</f>
        <v>214.5806249999996</v>
      </c>
      <c r="P33" s="7">
        <f>Peramalan!$E$29</f>
        <v>8976.0374999999985</v>
      </c>
      <c r="Q33" s="7">
        <f t="shared" si="8"/>
        <v>-37.173610389451582</v>
      </c>
      <c r="R33" s="7">
        <f t="shared" si="9"/>
        <v>37.173610389451582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Exponen'!$F$29</f>
        <v>26317.349374999998</v>
      </c>
      <c r="M34" s="7">
        <f>'Double Exponen'!$F$29</f>
        <v>16519.93375</v>
      </c>
      <c r="N34" s="7">
        <f>'Konstanta a'!$F$29</f>
        <v>36114.764999999999</v>
      </c>
      <c r="O34" s="7">
        <f>'Konstanta b'!$F$29</f>
        <v>9797.4156249999978</v>
      </c>
      <c r="P34" s="7">
        <f>Peramalan!$F$29</f>
        <v>7366.2599999999993</v>
      </c>
      <c r="Q34" s="7">
        <f t="shared" si="8"/>
        <v>83.880422604250555</v>
      </c>
      <c r="R34" s="7">
        <f t="shared" si="9"/>
        <v>83.880422604250555</v>
      </c>
    </row>
    <row r="35" spans="10:18" x14ac:dyDescent="0.3">
      <c r="J35" s="3" t="s">
        <v>7</v>
      </c>
      <c r="K35" s="7">
        <f>kg!$G$6</f>
        <v>6943.02</v>
      </c>
      <c r="L35" s="7">
        <f>'Single Exponen'!$G$29</f>
        <v>16630.184687499997</v>
      </c>
      <c r="M35" s="7">
        <f>'Double Exponen'!$G$29</f>
        <v>16575.059218750001</v>
      </c>
      <c r="N35" s="7">
        <f>'Konstanta a'!$G$29</f>
        <v>16685.310156249994</v>
      </c>
      <c r="O35" s="7">
        <f>'Konstanta b'!$G$29</f>
        <v>55.125468749996799</v>
      </c>
      <c r="P35" s="7">
        <f>Peramalan!$G$29</f>
        <v>45912.180624999994</v>
      </c>
      <c r="Q35" s="7">
        <f t="shared" si="8"/>
        <v>-561.27104091591252</v>
      </c>
      <c r="R35" s="7">
        <f t="shared" si="9"/>
        <v>561.27104091591252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Exponen'!$H$29</f>
        <v>12628.947343749998</v>
      </c>
      <c r="M36" s="7">
        <f>'Double Exponen'!$H$29</f>
        <v>14602.003281249999</v>
      </c>
      <c r="N36" s="7">
        <f>'Konstanta a'!$H$29</f>
        <v>10655.891406249997</v>
      </c>
      <c r="O36" s="7">
        <f>'Konstanta b'!$H$29</f>
        <v>-1973.0559375000012</v>
      </c>
      <c r="P36" s="7">
        <f>Peramalan!$H$29</f>
        <v>16740.435624999991</v>
      </c>
      <c r="Q36" s="7">
        <f t="shared" si="8"/>
        <v>-94.031042130530494</v>
      </c>
      <c r="R36" s="7">
        <f t="shared" si="9"/>
        <v>94.031042130530494</v>
      </c>
    </row>
    <row r="37" spans="10:18" x14ac:dyDescent="0.3">
      <c r="J37" s="3" t="s">
        <v>9</v>
      </c>
      <c r="K37" s="7">
        <f>kg!$I$6</f>
        <v>17194</v>
      </c>
      <c r="L37" s="7">
        <f>'Single Exponen'!$I$29</f>
        <v>14911.473671874999</v>
      </c>
      <c r="M37" s="7">
        <f>'Double Exponen'!$I$29</f>
        <v>14756.738476562499</v>
      </c>
      <c r="N37" s="7">
        <f>'Konstanta a'!$I$29</f>
        <v>15066.208867187499</v>
      </c>
      <c r="O37" s="7">
        <f>'Konstanta b'!$I$29</f>
        <v>154.73519531249985</v>
      </c>
      <c r="P37" s="7">
        <f>Peramalan!$I$29</f>
        <v>8682.8354687499959</v>
      </c>
      <c r="Q37" s="7">
        <f t="shared" si="8"/>
        <v>49.500782431371434</v>
      </c>
      <c r="R37" s="7">
        <f t="shared" si="9"/>
        <v>49.500782431371434</v>
      </c>
    </row>
    <row r="38" spans="10:18" x14ac:dyDescent="0.3">
      <c r="J38" s="3" t="s">
        <v>10</v>
      </c>
      <c r="K38" s="7">
        <f>kg!$J$6</f>
        <v>17242</v>
      </c>
      <c r="L38" s="7">
        <f>'Single Exponen'!$J$29</f>
        <v>16076.7368359375</v>
      </c>
      <c r="M38" s="7">
        <f>'Double Exponen'!$J$29</f>
        <v>15416.737656249999</v>
      </c>
      <c r="N38" s="7">
        <f>'Konstanta a'!$J$29</f>
        <v>16736.736015625</v>
      </c>
      <c r="O38" s="7">
        <f>'Konstanta b'!$J$29</f>
        <v>659.99917968750015</v>
      </c>
      <c r="P38" s="7">
        <f>Peramalan!$J$29</f>
        <v>15220.944062499999</v>
      </c>
      <c r="Q38" s="7">
        <f t="shared" si="8"/>
        <v>11.721702456211583</v>
      </c>
      <c r="R38" s="7">
        <f t="shared" si="9"/>
        <v>11.721702456211583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Exponen'!$K$29</f>
        <v>25621.968417968747</v>
      </c>
      <c r="M39" s="7">
        <f>'Double Exponen'!$K$29</f>
        <v>20519.353037109373</v>
      </c>
      <c r="N39" s="7">
        <f>'Konstanta a'!$K$29</f>
        <v>30724.58379882812</v>
      </c>
      <c r="O39" s="7">
        <f>'Konstanta b'!$K$29</f>
        <v>5102.6153808593735</v>
      </c>
      <c r="P39" s="7">
        <f>Peramalan!$K$29</f>
        <v>17396.7351953125</v>
      </c>
      <c r="Q39" s="7">
        <f t="shared" si="8"/>
        <v>50.531361054299175</v>
      </c>
      <c r="R39" s="7">
        <f t="shared" si="9"/>
        <v>50.531361054299175</v>
      </c>
    </row>
    <row r="40" spans="10:18" x14ac:dyDescent="0.3">
      <c r="J40" s="3" t="s">
        <v>12</v>
      </c>
      <c r="K40" s="7">
        <f>kg!$L$6</f>
        <v>6543.4</v>
      </c>
      <c r="L40" s="7">
        <f>'Single Exponen'!$L$29</f>
        <v>16082.684208984374</v>
      </c>
      <c r="M40" s="7">
        <f>'Double Exponen'!$L$29</f>
        <v>18301.018623046875</v>
      </c>
      <c r="N40" s="7">
        <f>'Konstanta a'!$L$29</f>
        <v>13864.349794921873</v>
      </c>
      <c r="O40" s="7">
        <f>'Konstanta b'!$L$29</f>
        <v>-2218.3344140625013</v>
      </c>
      <c r="P40" s="7">
        <f>Peramalan!$L$29</f>
        <v>35827.199179687494</v>
      </c>
      <c r="Q40" s="7">
        <f t="shared" si="8"/>
        <v>-447.53185163198788</v>
      </c>
      <c r="R40" s="7">
        <f t="shared" si="9"/>
        <v>447.53185163198788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Exponen'!$M$29</f>
        <v>12242.112104492187</v>
      </c>
      <c r="M41" s="7">
        <f>'Double Exponen'!$M$29</f>
        <v>15271.565363769532</v>
      </c>
      <c r="N41" s="7">
        <f>'Konstanta a'!$M$29</f>
        <v>9212.6588452148426</v>
      </c>
      <c r="O41" s="7">
        <f>'Konstanta b'!$M$29</f>
        <v>-3029.4532592773448</v>
      </c>
      <c r="P41" s="7">
        <f>Peramalan!$M$29</f>
        <v>11646.015380859371</v>
      </c>
      <c r="Q41" s="7">
        <f t="shared" si="8"/>
        <v>-38.617627016706109</v>
      </c>
      <c r="R41" s="7">
        <f t="shared" si="9"/>
        <v>38.617627016706109</v>
      </c>
    </row>
    <row r="42" spans="10:18" x14ac:dyDescent="0.3">
      <c r="Q42" s="6">
        <f>(SUM(Q31:Q41)/12)</f>
        <v>-78.795597426900372</v>
      </c>
      <c r="R42" s="6">
        <f>(SUM(R31:R41)/12)</f>
        <v>119.00946385414768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55B04-A7B5-49F5-AA50-290E21302B6F}">
  <dimension ref="A1:AA42"/>
  <sheetViews>
    <sheetView workbookViewId="0">
      <selection activeCell="K30" sqref="K30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7" width="9.44140625" style="1" bestFit="1" customWidth="1"/>
    <col min="8" max="8" width="8.109375" style="1" bestFit="1" customWidth="1"/>
    <col min="9" max="9" width="7.44140625" style="1" bestFit="1" customWidth="1"/>
    <col min="10" max="10" width="13.6640625" style="1" bestFit="1" customWidth="1"/>
    <col min="11" max="14" width="9.44140625" style="1" bestFit="1" customWidth="1"/>
    <col min="15" max="15" width="10.109375" style="1" bestFit="1" customWidth="1"/>
    <col min="16" max="16" width="9.44140625" style="1" bestFit="1" customWidth="1"/>
    <col min="17" max="17" width="8.109375" style="1" bestFit="1" customWidth="1"/>
    <col min="18" max="18" width="7.44140625" style="1" bestFit="1" customWidth="1"/>
    <col min="19" max="19" width="14.109375" style="1" bestFit="1" customWidth="1"/>
    <col min="20" max="23" width="8.44140625" style="1" bestFit="1" customWidth="1"/>
    <col min="24" max="24" width="9.109375" style="1" bestFit="1" customWidth="1"/>
    <col min="25" max="25" width="9.4414062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Exponen'!$B$32</f>
        <v>12588.09</v>
      </c>
      <c r="D2" s="7">
        <f>'Double Exponen'!$B$32</f>
        <v>12588.09</v>
      </c>
      <c r="E2" s="7">
        <f>'Konstanta a'!$B$32</f>
        <v>12588.09</v>
      </c>
      <c r="F2" s="7">
        <f>'Konstanta b'!$B$32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Exponen'!$B$33</f>
        <v>459915.78</v>
      </c>
      <c r="M2" s="7">
        <f>'Double Exponen'!$B$33</f>
        <v>459915.78</v>
      </c>
      <c r="N2" s="7">
        <f>'Konstanta a'!$B$33</f>
        <v>459915.78</v>
      </c>
      <c r="O2" s="7">
        <f>'Konstanta b'!$B$33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Exponen'!$B$36</f>
        <v>1033.08</v>
      </c>
      <c r="V2" s="7">
        <f>'Double Exponen'!$B$36</f>
        <v>1033.08</v>
      </c>
      <c r="W2" s="7">
        <f>'Konstanta a'!$B$36</f>
        <v>1033.08</v>
      </c>
      <c r="X2" s="7">
        <f>'Konstanta b'!$B$36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Exponen'!$C$32</f>
        <v>7909.0860000000011</v>
      </c>
      <c r="D3" s="7">
        <f>'Double Exponen'!$C$32</f>
        <v>12120.189600000002</v>
      </c>
      <c r="E3" s="7">
        <f>'Konstanta a'!$C$32</f>
        <v>3697.9824000000008</v>
      </c>
      <c r="F3" s="7">
        <f>'Konstanta b'!$C$32</f>
        <v>-6316.6553999999996</v>
      </c>
      <c r="G3" s="7">
        <f>Peramalan!$C$32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Exponen'!$C$33</f>
        <v>422298.76800000004</v>
      </c>
      <c r="M3" s="7">
        <f>'Double Exponen'!$C$33</f>
        <v>456154.07880000008</v>
      </c>
      <c r="N3" s="7">
        <f>'Konstanta a'!$C$33</f>
        <v>388443.4572</v>
      </c>
      <c r="O3" s="7">
        <f>'Konstanta b'!$C$33</f>
        <v>-50782.966200000046</v>
      </c>
      <c r="P3" s="7">
        <f>Peramalan!$C$33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Exponen'!$C$36</f>
        <v>15699.995999999999</v>
      </c>
      <c r="V3" s="7">
        <f>'Double Exponen'!$C$36</f>
        <v>2499.7715999999996</v>
      </c>
      <c r="W3" s="7">
        <f>'Konstanta a'!$C$36</f>
        <v>28900.220399999998</v>
      </c>
      <c r="X3" s="7">
        <f>'Konstanta b'!$C$36</f>
        <v>19800.336599999995</v>
      </c>
      <c r="Y3" s="7">
        <f>Peramalan!$C$36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Exponen'!$D$32</f>
        <v>15779.1384</v>
      </c>
      <c r="D4" s="7">
        <f>'Double Exponen'!$D$32</f>
        <v>12486.084480000001</v>
      </c>
      <c r="E4" s="7">
        <f>'Konstanta a'!$D$32</f>
        <v>19072.192319999998</v>
      </c>
      <c r="F4" s="7">
        <f>'Konstanta b'!$D$32</f>
        <v>4939.5808799999968</v>
      </c>
      <c r="G4" s="7">
        <f>Peramalan!$D$32</f>
        <v>-2618.6729999999989</v>
      </c>
      <c r="H4" s="7">
        <f t="shared" ref="H4:H13" si="0">((B4-G4)/B4)*100</f>
        <v>112.45454640575596</v>
      </c>
      <c r="I4" s="7">
        <f t="shared" ref="I4:I13" si="1">ABS((B4-G4)/B4)*100</f>
        <v>112.45454640575596</v>
      </c>
      <c r="J4" s="3" t="s">
        <v>4</v>
      </c>
      <c r="K4" s="7">
        <f>kg!$D$4</f>
        <v>389238.98</v>
      </c>
      <c r="L4" s="7">
        <f>'Single Exponen'!$D$33</f>
        <v>402462.89520000003</v>
      </c>
      <c r="M4" s="7">
        <f>'Double Exponen'!$D$33</f>
        <v>450784.96044000005</v>
      </c>
      <c r="N4" s="7">
        <f>'Konstanta a'!$D$33</f>
        <v>354140.82996</v>
      </c>
      <c r="O4" s="7">
        <f>'Konstanta b'!$D$33</f>
        <v>-72483.097860000024</v>
      </c>
      <c r="P4" s="7">
        <f>Peramalan!$D$33</f>
        <v>337660.49099999998</v>
      </c>
      <c r="Q4" s="7">
        <f t="shared" ref="Q4:Q13" si="2">((K4-P4)/K4)*100</f>
        <v>13.251110924193668</v>
      </c>
      <c r="R4" s="7">
        <f t="shared" ref="R4:R13" si="3">ABS((K4-P4)/K4)*100</f>
        <v>13.251110924193668</v>
      </c>
      <c r="S4" s="3" t="s">
        <v>4</v>
      </c>
      <c r="T4" s="7">
        <f>kg!$D$7</f>
        <v>19497.02</v>
      </c>
      <c r="U4" s="7">
        <f>'Single Exponen'!$D$36</f>
        <v>17978.2104</v>
      </c>
      <c r="V4" s="7">
        <f>'Double Exponen'!$D$36</f>
        <v>4047.6154800000004</v>
      </c>
      <c r="W4" s="7">
        <f>'Konstanta a'!$D$36</f>
        <v>31908.805319999999</v>
      </c>
      <c r="X4" s="7">
        <f>'Konstanta b'!$D$36</f>
        <v>20895.892379999998</v>
      </c>
      <c r="Y4" s="7">
        <f>Peramalan!$D$36</f>
        <v>48700.556999999993</v>
      </c>
      <c r="Z4" s="7">
        <f t="shared" ref="Z4:Z13" si="4">((T4-Y4)/T4)*100</f>
        <v>-149.78461836731969</v>
      </c>
      <c r="AA4" s="7">
        <f t="shared" ref="AA4:AA13" si="5">ABS((T4-Y4)/T4)*100</f>
        <v>149.78461836731969</v>
      </c>
    </row>
    <row r="5" spans="1:27" x14ac:dyDescent="0.3">
      <c r="A5" s="3" t="s">
        <v>5</v>
      </c>
      <c r="B5" s="7">
        <f>kg!$E$3</f>
        <v>11100.97</v>
      </c>
      <c r="C5" s="7">
        <f>'Single Exponen'!$E$32</f>
        <v>12972.237359999999</v>
      </c>
      <c r="D5" s="7">
        <f>'Double Exponen'!$E$32</f>
        <v>12534.699768000002</v>
      </c>
      <c r="E5" s="7">
        <f>'Konstanta a'!$E$32</f>
        <v>13409.774951999996</v>
      </c>
      <c r="F5" s="7">
        <f>'Konstanta b'!$E$32</f>
        <v>656.30638799999531</v>
      </c>
      <c r="G5" s="7">
        <f>Peramalan!$E$32</f>
        <v>24011.773199999996</v>
      </c>
      <c r="H5" s="7">
        <f t="shared" si="0"/>
        <v>-116.30337889391646</v>
      </c>
      <c r="I5" s="7">
        <f t="shared" si="1"/>
        <v>116.30337889391646</v>
      </c>
      <c r="J5" s="3" t="s">
        <v>5</v>
      </c>
      <c r="K5" s="7">
        <f>kg!$E$4</f>
        <v>505904.1</v>
      </c>
      <c r="L5" s="7">
        <f>'Single Exponen'!$E$33</f>
        <v>464527.61807999999</v>
      </c>
      <c r="M5" s="7">
        <f>'Double Exponen'!$E$33</f>
        <v>452159.22620400006</v>
      </c>
      <c r="N5" s="7">
        <f>'Konstanta a'!$E$33</f>
        <v>476896.00995599991</v>
      </c>
      <c r="O5" s="7">
        <f>'Konstanta b'!$E$33</f>
        <v>18552.587813999879</v>
      </c>
      <c r="P5" s="7">
        <f>Peramalan!$E$33</f>
        <v>281657.73209999996</v>
      </c>
      <c r="Q5" s="7">
        <f t="shared" si="2"/>
        <v>44.325864902063458</v>
      </c>
      <c r="R5" s="7">
        <f t="shared" si="3"/>
        <v>44.325864902063458</v>
      </c>
      <c r="S5" s="3" t="s">
        <v>5</v>
      </c>
      <c r="T5" s="7">
        <f>kg!$E$7</f>
        <v>18855.900000000001</v>
      </c>
      <c r="U5" s="7">
        <f>'Single Exponen'!$E$36</f>
        <v>18504.82416</v>
      </c>
      <c r="V5" s="7">
        <f>'Double Exponen'!$E$36</f>
        <v>5493.3363480000007</v>
      </c>
      <c r="W5" s="7">
        <f>'Konstanta a'!$E$36</f>
        <v>31516.311972</v>
      </c>
      <c r="X5" s="7">
        <f>'Konstanta b'!$E$36</f>
        <v>19517.231717999995</v>
      </c>
      <c r="Y5" s="7">
        <f>Peramalan!$E$36</f>
        <v>52804.697699999997</v>
      </c>
      <c r="Z5" s="7">
        <f t="shared" si="4"/>
        <v>-180.04336944935005</v>
      </c>
      <c r="AA5" s="7">
        <f t="shared" si="5"/>
        <v>180.04336944935005</v>
      </c>
    </row>
    <row r="6" spans="1:27" x14ac:dyDescent="0.3">
      <c r="A6" s="3" t="s">
        <v>6</v>
      </c>
      <c r="B6" s="7">
        <f>kg!$F$3</f>
        <v>9095.66</v>
      </c>
      <c r="C6" s="7">
        <f>'Single Exponen'!$F$32</f>
        <v>10646.290944</v>
      </c>
      <c r="D6" s="7">
        <f>'Double Exponen'!$F$32</f>
        <v>12345.858885600002</v>
      </c>
      <c r="E6" s="7">
        <f>'Konstanta a'!$F$32</f>
        <v>8946.7230023999982</v>
      </c>
      <c r="F6" s="7">
        <f>'Konstanta b'!$F$32</f>
        <v>-2549.3519124000027</v>
      </c>
      <c r="G6" s="7">
        <f>Peramalan!$F$32</f>
        <v>14066.081339999992</v>
      </c>
      <c r="H6" s="7">
        <f t="shared" si="0"/>
        <v>-54.646076700316328</v>
      </c>
      <c r="I6" s="7">
        <f t="shared" si="1"/>
        <v>54.646076700316328</v>
      </c>
      <c r="J6" s="3" t="s">
        <v>6</v>
      </c>
      <c r="K6" s="7">
        <f>kg!$F$4</f>
        <v>201079.58</v>
      </c>
      <c r="L6" s="7">
        <f>'Single Exponen'!$F$33</f>
        <v>306458.795232</v>
      </c>
      <c r="M6" s="7">
        <f>'Double Exponen'!$F$33</f>
        <v>437589.18310680008</v>
      </c>
      <c r="N6" s="7">
        <f>'Konstanta a'!$F$33</f>
        <v>175328.40735719993</v>
      </c>
      <c r="O6" s="7">
        <f>'Konstanta b'!$F$33</f>
        <v>-196695.58181220008</v>
      </c>
      <c r="P6" s="7">
        <f>Peramalan!$F$33</f>
        <v>495448.59776999976</v>
      </c>
      <c r="Q6" s="7">
        <f t="shared" si="2"/>
        <v>-146.39428716232638</v>
      </c>
      <c r="R6" s="7">
        <f t="shared" si="3"/>
        <v>146.39428716232638</v>
      </c>
      <c r="S6" s="3" t="s">
        <v>6</v>
      </c>
      <c r="T6" s="7">
        <f>kg!$F$7</f>
        <v>26851.599999999999</v>
      </c>
      <c r="U6" s="7">
        <f>'Single Exponen'!$F$36</f>
        <v>23512.889663999998</v>
      </c>
      <c r="V6" s="7">
        <f>'Double Exponen'!$F$36</f>
        <v>7295.2916796000009</v>
      </c>
      <c r="W6" s="7">
        <f>'Konstanta a'!$F$36</f>
        <v>39730.487648399998</v>
      </c>
      <c r="X6" s="7">
        <f>'Konstanta b'!$F$36</f>
        <v>24326.396976599994</v>
      </c>
      <c r="Y6" s="7">
        <f>Peramalan!$F$36</f>
        <v>51033.543689999991</v>
      </c>
      <c r="Z6" s="7">
        <f t="shared" si="4"/>
        <v>-90.057738421546546</v>
      </c>
      <c r="AA6" s="7">
        <f t="shared" si="5"/>
        <v>90.057738421546546</v>
      </c>
    </row>
    <row r="7" spans="1:27" x14ac:dyDescent="0.3">
      <c r="A7" s="3" t="s">
        <v>7</v>
      </c>
      <c r="B7" s="7">
        <f>kg!$G$3</f>
        <v>8185.36</v>
      </c>
      <c r="C7" s="7">
        <f>'Single Exponen'!$G$32</f>
        <v>9169.7323775999994</v>
      </c>
      <c r="D7" s="7">
        <f>'Double Exponen'!$G$32</f>
        <v>12028.246234800003</v>
      </c>
      <c r="E7" s="7">
        <f>'Konstanta a'!$G$32</f>
        <v>6311.2185203999961</v>
      </c>
      <c r="F7" s="7">
        <f>'Konstanta b'!$G$32</f>
        <v>-4287.770785800004</v>
      </c>
      <c r="G7" s="7">
        <f>Peramalan!$G$32</f>
        <v>6397.3710899999951</v>
      </c>
      <c r="H7" s="7">
        <f t="shared" si="0"/>
        <v>21.84374187573918</v>
      </c>
      <c r="I7" s="7">
        <f t="shared" si="1"/>
        <v>21.84374187573918</v>
      </c>
      <c r="J7" s="3" t="s">
        <v>7</v>
      </c>
      <c r="K7" s="7">
        <f>kg!$G$4</f>
        <v>378271.8</v>
      </c>
      <c r="L7" s="7">
        <f>'Single Exponen'!$G$33</f>
        <v>349546.59809280001</v>
      </c>
      <c r="M7" s="7">
        <f>'Double Exponen'!$G$33</f>
        <v>428784.92460540007</v>
      </c>
      <c r="N7" s="7">
        <f>'Konstanta a'!$G$33</f>
        <v>270308.27158019994</v>
      </c>
      <c r="O7" s="7">
        <f>'Konstanta b'!$G$33</f>
        <v>-118857.48976890008</v>
      </c>
      <c r="P7" s="7">
        <f>Peramalan!$G$33</f>
        <v>-21367.174455000146</v>
      </c>
      <c r="Q7" s="7">
        <f t="shared" si="2"/>
        <v>105.64863002079461</v>
      </c>
      <c r="R7" s="7">
        <f t="shared" si="3"/>
        <v>105.64863002079461</v>
      </c>
      <c r="S7" s="3" t="s">
        <v>7</v>
      </c>
      <c r="T7" s="7">
        <f>kg!$G$7</f>
        <v>17468.29</v>
      </c>
      <c r="U7" s="7">
        <f>'Single Exponen'!$G$36</f>
        <v>19886.1298656</v>
      </c>
      <c r="V7" s="7">
        <f>'Double Exponen'!$G$36</f>
        <v>8554.3754982000009</v>
      </c>
      <c r="W7" s="7">
        <f>'Konstanta a'!$G$36</f>
        <v>31217.884232999997</v>
      </c>
      <c r="X7" s="7">
        <f>'Konstanta b'!$G$36</f>
        <v>16997.631551099996</v>
      </c>
      <c r="Y7" s="7">
        <f>Peramalan!$G$36</f>
        <v>64056.884624999992</v>
      </c>
      <c r="Z7" s="7">
        <f t="shared" si="4"/>
        <v>-266.70380801440774</v>
      </c>
      <c r="AA7" s="7">
        <f t="shared" si="5"/>
        <v>266.70380801440774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Exponen'!$H$32</f>
        <v>14627.132951039999</v>
      </c>
      <c r="D8" s="7">
        <f>'Double Exponen'!$H$32</f>
        <v>12288.134906424002</v>
      </c>
      <c r="E8" s="7">
        <f>'Konstanta a'!$H$32</f>
        <v>16966.130995655996</v>
      </c>
      <c r="F8" s="7">
        <f>'Konstanta b'!$H$32</f>
        <v>3508.4970669239951</v>
      </c>
      <c r="G8" s="7">
        <f>Peramalan!$H$32</f>
        <v>2023.4477345999921</v>
      </c>
      <c r="H8" s="7">
        <f t="shared" si="0"/>
        <v>88.921963194893124</v>
      </c>
      <c r="I8" s="7">
        <f t="shared" si="1"/>
        <v>88.921963194893124</v>
      </c>
      <c r="J8" s="3" t="s">
        <v>8</v>
      </c>
      <c r="K8" s="7">
        <f>kg!$H$4</f>
        <v>463478.68</v>
      </c>
      <c r="L8" s="7">
        <f>'Single Exponen'!$H$33</f>
        <v>417905.84723712003</v>
      </c>
      <c r="M8" s="7">
        <f>'Double Exponen'!$H$33</f>
        <v>427697.0168685721</v>
      </c>
      <c r="N8" s="7">
        <f>'Konstanta a'!$H$33</f>
        <v>408114.67760566797</v>
      </c>
      <c r="O8" s="7">
        <f>'Konstanta b'!$H$33</f>
        <v>-14686.754447178098</v>
      </c>
      <c r="P8" s="7">
        <f>Peramalan!$H$33</f>
        <v>151450.78181129985</v>
      </c>
      <c r="Q8" s="7">
        <f t="shared" si="2"/>
        <v>67.323031598497721</v>
      </c>
      <c r="R8" s="7">
        <f t="shared" si="3"/>
        <v>67.323031598497721</v>
      </c>
      <c r="S8" s="3" t="s">
        <v>8</v>
      </c>
      <c r="T8" s="7">
        <f>kg!$H$7</f>
        <v>53358.239999999998</v>
      </c>
      <c r="U8" s="7">
        <f>'Single Exponen'!$H$36</f>
        <v>39969.395946239994</v>
      </c>
      <c r="V8" s="7">
        <f>'Double Exponen'!$H$36</f>
        <v>11695.877543004002</v>
      </c>
      <c r="W8" s="7">
        <f>'Konstanta a'!$H$36</f>
        <v>68242.914349475992</v>
      </c>
      <c r="X8" s="7">
        <f>'Konstanta b'!$H$36</f>
        <v>42410.277604853982</v>
      </c>
      <c r="Y8" s="7">
        <f>Peramalan!$H$36</f>
        <v>48215.515784099989</v>
      </c>
      <c r="Z8" s="7">
        <f t="shared" si="4"/>
        <v>9.6381069088860674</v>
      </c>
      <c r="AA8" s="7">
        <f t="shared" si="5"/>
        <v>9.6381069088860674</v>
      </c>
    </row>
    <row r="9" spans="1:27" x14ac:dyDescent="0.3">
      <c r="A9" s="3" t="s">
        <v>9</v>
      </c>
      <c r="B9" s="7">
        <f>kg!$I$3</f>
        <v>11044.68</v>
      </c>
      <c r="C9" s="7">
        <f>'Single Exponen'!$I$32</f>
        <v>12477.661180416</v>
      </c>
      <c r="D9" s="7">
        <f>'Double Exponen'!$I$32</f>
        <v>12307.087533823204</v>
      </c>
      <c r="E9" s="7">
        <f>'Konstanta a'!$I$32</f>
        <v>12648.234827008797</v>
      </c>
      <c r="F9" s="7">
        <f>'Konstanta b'!$I$32</f>
        <v>255.86046988919495</v>
      </c>
      <c r="G9" s="7">
        <f>Peramalan!$I$32</f>
        <v>20474.628062579992</v>
      </c>
      <c r="H9" s="7">
        <f t="shared" si="0"/>
        <v>-85.380002522300245</v>
      </c>
      <c r="I9" s="7">
        <f t="shared" si="1"/>
        <v>85.380002522300245</v>
      </c>
      <c r="J9" s="3" t="s">
        <v>9</v>
      </c>
      <c r="K9" s="7">
        <f>kg!$I$4</f>
        <v>511860.86</v>
      </c>
      <c r="L9" s="7">
        <f>'Single Exponen'!$I$33</f>
        <v>474278.85489484802</v>
      </c>
      <c r="M9" s="7">
        <f>'Double Exponen'!$I$33</f>
        <v>432355.20067119971</v>
      </c>
      <c r="N9" s="7">
        <f>'Konstanta a'!$I$33</f>
        <v>516202.50911849632</v>
      </c>
      <c r="O9" s="7">
        <f>'Konstanta b'!$I$33</f>
        <v>62885.481335472454</v>
      </c>
      <c r="P9" s="7">
        <f>Peramalan!$I$33</f>
        <v>393427.92315848987</v>
      </c>
      <c r="Q9" s="7">
        <f t="shared" si="2"/>
        <v>23.137720833257326</v>
      </c>
      <c r="R9" s="7">
        <f t="shared" si="3"/>
        <v>23.137720833257326</v>
      </c>
      <c r="S9" s="3" t="s">
        <v>9</v>
      </c>
      <c r="T9" s="7">
        <f>kg!$I$7</f>
        <v>31973.26</v>
      </c>
      <c r="U9" s="7">
        <f>'Single Exponen'!$I$36</f>
        <v>35171.714378495999</v>
      </c>
      <c r="V9" s="7">
        <f>'Double Exponen'!$I$36</f>
        <v>14043.461226553203</v>
      </c>
      <c r="W9" s="7">
        <f>'Konstanta a'!$I$36</f>
        <v>56299.967530438793</v>
      </c>
      <c r="X9" s="7">
        <f>'Konstanta b'!$I$36</f>
        <v>31692.379727914187</v>
      </c>
      <c r="Y9" s="7">
        <f>Peramalan!$I$36</f>
        <v>110653.19195432997</v>
      </c>
      <c r="Z9" s="7">
        <f t="shared" si="4"/>
        <v>-246.08041830682885</v>
      </c>
      <c r="AA9" s="7">
        <f t="shared" si="5"/>
        <v>246.08041830682885</v>
      </c>
    </row>
    <row r="10" spans="1:27" x14ac:dyDescent="0.3">
      <c r="A10" s="3" t="s">
        <v>10</v>
      </c>
      <c r="B10" s="7">
        <f>kg!$J$3</f>
        <v>10889.55</v>
      </c>
      <c r="C10" s="7">
        <f>'Single Exponen'!$J$32</f>
        <v>11524.794472166399</v>
      </c>
      <c r="D10" s="7">
        <f>'Double Exponen'!$J$32</f>
        <v>12228.858227657525</v>
      </c>
      <c r="E10" s="7">
        <f>'Konstanta a'!$J$32</f>
        <v>10820.730716675273</v>
      </c>
      <c r="F10" s="7">
        <f>'Konstanta b'!$J$32</f>
        <v>-1056.0956332366893</v>
      </c>
      <c r="G10" s="7">
        <f>Peramalan!$J$32</f>
        <v>12904.095296897991</v>
      </c>
      <c r="H10" s="7">
        <f t="shared" si="0"/>
        <v>-18.499802993677349</v>
      </c>
      <c r="I10" s="7">
        <f t="shared" si="1"/>
        <v>18.499802993677349</v>
      </c>
      <c r="J10" s="3" t="s">
        <v>10</v>
      </c>
      <c r="K10" s="7">
        <f>kg!$J$4</f>
        <v>513170.2</v>
      </c>
      <c r="L10" s="7">
        <f>'Single Exponen'!$J$33</f>
        <v>497613.66195793921</v>
      </c>
      <c r="M10" s="7">
        <f>'Double Exponen'!$J$33</f>
        <v>438881.04679987364</v>
      </c>
      <c r="N10" s="7">
        <f>'Konstanta a'!$J$33</f>
        <v>556346.27711600484</v>
      </c>
      <c r="O10" s="7">
        <f>'Konstanta b'!$J$33</f>
        <v>88098.922737098343</v>
      </c>
      <c r="P10" s="7">
        <f>Peramalan!$J$33</f>
        <v>579087.99045396876</v>
      </c>
      <c r="Q10" s="7">
        <f t="shared" si="2"/>
        <v>-12.845210118196407</v>
      </c>
      <c r="R10" s="7">
        <f t="shared" si="3"/>
        <v>12.845210118196407</v>
      </c>
      <c r="S10" s="3" t="s">
        <v>10</v>
      </c>
      <c r="T10" s="7">
        <f>kg!$J$7</f>
        <v>28522.799999999999</v>
      </c>
      <c r="U10" s="7">
        <f>'Single Exponen'!$J$36</f>
        <v>31182.3657513984</v>
      </c>
      <c r="V10" s="7">
        <f>'Double Exponen'!$J$36</f>
        <v>15757.351679037722</v>
      </c>
      <c r="W10" s="7">
        <f>'Konstanta a'!$J$36</f>
        <v>46607.379823759082</v>
      </c>
      <c r="X10" s="7">
        <f>'Konstanta b'!$J$36</f>
        <v>23137.521108541016</v>
      </c>
      <c r="Y10" s="7">
        <f>Peramalan!$J$36</f>
        <v>87992.34725835298</v>
      </c>
      <c r="Z10" s="7">
        <f t="shared" si="4"/>
        <v>-208.49827947590342</v>
      </c>
      <c r="AA10" s="7">
        <f t="shared" si="5"/>
        <v>208.49827947590342</v>
      </c>
    </row>
    <row r="11" spans="1:27" x14ac:dyDescent="0.3">
      <c r="A11" s="3" t="s">
        <v>11</v>
      </c>
      <c r="B11" s="7">
        <f>kg!$K$3</f>
        <v>8406.34</v>
      </c>
      <c r="C11" s="7">
        <f>'Single Exponen'!$K$32</f>
        <v>9653.72178886656</v>
      </c>
      <c r="D11" s="7">
        <f>'Double Exponen'!$K$32</f>
        <v>11971.344583778429</v>
      </c>
      <c r="E11" s="7">
        <f>'Konstanta a'!$K$32</f>
        <v>7336.0989939546907</v>
      </c>
      <c r="F11" s="7">
        <f>'Konstanta b'!$K$32</f>
        <v>-3476.4341923678035</v>
      </c>
      <c r="G11" s="7">
        <f>Peramalan!$K$32</f>
        <v>9764.635083438583</v>
      </c>
      <c r="H11" s="7">
        <f t="shared" si="0"/>
        <v>-16.157984133863046</v>
      </c>
      <c r="I11" s="7">
        <f t="shared" si="1"/>
        <v>16.157984133863046</v>
      </c>
      <c r="J11" s="3" t="s">
        <v>11</v>
      </c>
      <c r="K11" s="7">
        <f>kg!$K$4</f>
        <v>525723.46</v>
      </c>
      <c r="L11" s="7">
        <f>'Single Exponen'!$K$33</f>
        <v>514479.54078317562</v>
      </c>
      <c r="M11" s="7">
        <f>'Double Exponen'!$K$33</f>
        <v>446440.8961982039</v>
      </c>
      <c r="N11" s="7">
        <f>'Konstanta a'!$K$33</f>
        <v>582518.18536814733</v>
      </c>
      <c r="O11" s="7">
        <f>'Konstanta b'!$K$33</f>
        <v>102057.96687745755</v>
      </c>
      <c r="P11" s="7">
        <f>Peramalan!$K$33</f>
        <v>644445.19985310314</v>
      </c>
      <c r="Q11" s="7">
        <f t="shared" si="2"/>
        <v>-22.582545556004519</v>
      </c>
      <c r="R11" s="7">
        <f t="shared" si="3"/>
        <v>22.582545556004519</v>
      </c>
      <c r="S11" s="3" t="s">
        <v>11</v>
      </c>
      <c r="T11" s="7">
        <f>kg!$K$7</f>
        <v>51078.26</v>
      </c>
      <c r="U11" s="7">
        <f>'Single Exponen'!$K$36</f>
        <v>43119.902300559363</v>
      </c>
      <c r="V11" s="7">
        <f>'Double Exponen'!$K$36</f>
        <v>18493.606741189888</v>
      </c>
      <c r="W11" s="7">
        <f>'Konstanta a'!$K$36</f>
        <v>67746.197859928841</v>
      </c>
      <c r="X11" s="7">
        <f>'Konstanta b'!$K$36</f>
        <v>36939.443339054204</v>
      </c>
      <c r="Y11" s="7">
        <f>Peramalan!$K$36</f>
        <v>69744.900932300094</v>
      </c>
      <c r="Z11" s="7">
        <f t="shared" si="4"/>
        <v>-36.545177796385566</v>
      </c>
      <c r="AA11" s="7">
        <f t="shared" si="5"/>
        <v>36.545177796385566</v>
      </c>
    </row>
    <row r="12" spans="1:27" x14ac:dyDescent="0.3">
      <c r="A12" s="3" t="s">
        <v>12</v>
      </c>
      <c r="B12" s="7">
        <f>kg!$L$3</f>
        <v>18149.95</v>
      </c>
      <c r="C12" s="7">
        <f>'Single Exponen'!$L$32</f>
        <v>14751.458715546623</v>
      </c>
      <c r="D12" s="7">
        <f>'Double Exponen'!$L$32</f>
        <v>12249.35599695525</v>
      </c>
      <c r="E12" s="7">
        <f>'Konstanta a'!$L$32</f>
        <v>17253.561434137999</v>
      </c>
      <c r="F12" s="7">
        <f>'Konstanta b'!$L$32</f>
        <v>3753.1540778870599</v>
      </c>
      <c r="G12" s="7">
        <f>Peramalan!$L$32</f>
        <v>3859.6648015868873</v>
      </c>
      <c r="H12" s="7">
        <f t="shared" si="0"/>
        <v>78.734570609908644</v>
      </c>
      <c r="I12" s="7">
        <f t="shared" si="1"/>
        <v>78.734570609908644</v>
      </c>
      <c r="J12" s="3" t="s">
        <v>12</v>
      </c>
      <c r="K12" s="7">
        <f>kg!$L$4</f>
        <v>480711.96</v>
      </c>
      <c r="L12" s="7">
        <f>'Single Exponen'!$L$33</f>
        <v>494218.99231327022</v>
      </c>
      <c r="M12" s="7">
        <f>'Double Exponen'!$L$33</f>
        <v>451218.70580971055</v>
      </c>
      <c r="N12" s="7">
        <f>'Konstanta a'!$L$33</f>
        <v>537219.2788168299</v>
      </c>
      <c r="O12" s="7">
        <f>'Konstanta b'!$L$33</f>
        <v>64500.429755339508</v>
      </c>
      <c r="P12" s="7">
        <f>Peramalan!$L$33</f>
        <v>684576.1522456049</v>
      </c>
      <c r="Q12" s="7">
        <f t="shared" si="2"/>
        <v>-42.408803859509732</v>
      </c>
      <c r="R12" s="7">
        <f t="shared" si="3"/>
        <v>42.408803859509732</v>
      </c>
      <c r="S12" s="3" t="s">
        <v>12</v>
      </c>
      <c r="T12" s="7">
        <f>kg!$L$7</f>
        <v>50149.88</v>
      </c>
      <c r="U12" s="7">
        <f>'Single Exponen'!$L$36</f>
        <v>47337.888920223741</v>
      </c>
      <c r="V12" s="7">
        <f>'Double Exponen'!$L$36</f>
        <v>21378.034959093275</v>
      </c>
      <c r="W12" s="7">
        <f>'Konstanta a'!$L$36</f>
        <v>73297.742881354206</v>
      </c>
      <c r="X12" s="7">
        <f>'Konstanta b'!$L$36</f>
        <v>38939.780941695695</v>
      </c>
      <c r="Y12" s="7">
        <f>Peramalan!$L$36</f>
        <v>104685.64119898304</v>
      </c>
      <c r="Z12" s="7">
        <f t="shared" si="4"/>
        <v>-108.74554674703715</v>
      </c>
      <c r="AA12" s="7">
        <f t="shared" si="5"/>
        <v>108.74554674703715</v>
      </c>
    </row>
    <row r="13" spans="1:27" x14ac:dyDescent="0.3">
      <c r="A13" s="3" t="s">
        <v>13</v>
      </c>
      <c r="B13" s="7">
        <f>kg!$M$3</f>
        <v>11905.39</v>
      </c>
      <c r="C13" s="7">
        <f>'Single Exponen'!$M$32</f>
        <v>13043.81748621865</v>
      </c>
      <c r="D13" s="7">
        <f>'Double Exponen'!$M$32</f>
        <v>12328.802145881591</v>
      </c>
      <c r="E13" s="7">
        <f>'Konstanta a'!$M$32</f>
        <v>13758.832826555708</v>
      </c>
      <c r="F13" s="7">
        <f>'Konstanta b'!$M$32</f>
        <v>1072.5230105055878</v>
      </c>
      <c r="G13" s="7">
        <f>Peramalan!$M$32</f>
        <v>21006.715512025057</v>
      </c>
      <c r="H13" s="7">
        <f t="shared" si="0"/>
        <v>-76.447100951964259</v>
      </c>
      <c r="I13" s="7">
        <f t="shared" si="1"/>
        <v>76.447100951964259</v>
      </c>
      <c r="J13" s="3" t="s">
        <v>13</v>
      </c>
      <c r="K13" s="7">
        <f>kg!$M$4</f>
        <v>428532.64</v>
      </c>
      <c r="L13" s="7">
        <f>'Single Exponen'!$M$33</f>
        <v>454807.18092530814</v>
      </c>
      <c r="M13" s="7">
        <f>'Double Exponen'!$M$33</f>
        <v>451577.55332127039</v>
      </c>
      <c r="N13" s="7">
        <f>'Konstanta a'!$M$33</f>
        <v>458036.8085293459</v>
      </c>
      <c r="O13" s="7">
        <f>'Konstanta b'!$M$33</f>
        <v>4844.4414060566332</v>
      </c>
      <c r="P13" s="7">
        <f>Peramalan!$M$33</f>
        <v>601719.70857216942</v>
      </c>
      <c r="Q13" s="7">
        <f t="shared" si="2"/>
        <v>-40.413973734222296</v>
      </c>
      <c r="R13" s="7">
        <f t="shared" si="3"/>
        <v>40.413973734222296</v>
      </c>
      <c r="S13" s="3" t="s">
        <v>13</v>
      </c>
      <c r="T13" s="7">
        <f>kg!$M$7</f>
        <v>42897.42</v>
      </c>
      <c r="U13" s="7">
        <f>'Single Exponen'!$M$36</f>
        <v>44673.607568089494</v>
      </c>
      <c r="V13" s="7">
        <f>'Double Exponen'!$M$36</f>
        <v>23707.592219992897</v>
      </c>
      <c r="W13" s="7">
        <f>'Konstanta a'!$M$36</f>
        <v>65639.622916186083</v>
      </c>
      <c r="X13" s="7">
        <f>'Konstanta b'!$M$36</f>
        <v>31449.023022144891</v>
      </c>
      <c r="Y13" s="7">
        <f>Peramalan!$M$36</f>
        <v>112237.52382304991</v>
      </c>
      <c r="Z13" s="7">
        <f t="shared" si="4"/>
        <v>-161.64166475058386</v>
      </c>
      <c r="AA13" s="7">
        <f t="shared" si="5"/>
        <v>161.64166475058386</v>
      </c>
    </row>
    <row r="14" spans="1:27" x14ac:dyDescent="0.3">
      <c r="H14" s="6">
        <f>(SUM(H3:H13)/12)</f>
        <v>-19.024384546942787</v>
      </c>
      <c r="I14" s="6">
        <f>(SUM(I3:I13)/12)</f>
        <v>69.350188227992277</v>
      </c>
      <c r="Q14" s="6">
        <f>(SUM(Q3:Q13)/12)</f>
        <v>-2.2284901608682333</v>
      </c>
      <c r="R14" s="6">
        <f>(SUM(R3:R13)/12)</f>
        <v>44.509549874002694</v>
      </c>
      <c r="Z14" s="6">
        <f>(SUM(Z3:Z13)/12)</f>
        <v>-111.87644302827613</v>
      </c>
      <c r="AA14" s="6">
        <f>(SUM(AA3:AA13)/12)</f>
        <v>129.47366052661772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Exponen'!$B$34</f>
        <v>23458.3</v>
      </c>
      <c r="M16" s="7">
        <f>'Double Exponen'!$B$34</f>
        <v>23458.3</v>
      </c>
      <c r="N16" s="7">
        <f>'Konstanta a'!$B$34</f>
        <v>23458.3</v>
      </c>
      <c r="O16" s="7">
        <f>'Konstanta b'!$B$34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Exponen'!$C$34</f>
        <v>34713.279999999999</v>
      </c>
      <c r="M17" s="7">
        <f>'Double Exponen'!$C$34</f>
        <v>24583.797999999999</v>
      </c>
      <c r="N17" s="7">
        <f>'Konstanta a'!$C$34</f>
        <v>44842.762000000002</v>
      </c>
      <c r="O17" s="7">
        <f>'Konstanta b'!$C$34</f>
        <v>15194.222999999998</v>
      </c>
      <c r="P17" s="7">
        <f>Peramalan!$C$34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Exponen'!$D$34</f>
        <v>31136.451999999997</v>
      </c>
      <c r="M18" s="7">
        <f>'Double Exponen'!$D$34</f>
        <v>25239.063399999999</v>
      </c>
      <c r="N18" s="7">
        <f>'Konstanta a'!$D$34</f>
        <v>37033.840599999996</v>
      </c>
      <c r="O18" s="7">
        <f>'Konstanta b'!$D$34</f>
        <v>8846.0828999999958</v>
      </c>
      <c r="P18" s="7">
        <f>Peramalan!$D$34</f>
        <v>60036.985000000001</v>
      </c>
      <c r="Q18" s="7">
        <f t="shared" ref="Q18:Q27" si="6">((K18-P18)/K18)*100</f>
        <v>-108.81049600200335</v>
      </c>
      <c r="R18" s="7">
        <f t="shared" ref="R18:R27" si="7">ABS((K18-P18)/K18)*100</f>
        <v>108.81049600200335</v>
      </c>
    </row>
    <row r="19" spans="10:18" x14ac:dyDescent="0.3">
      <c r="J19" s="3" t="s">
        <v>5</v>
      </c>
      <c r="K19" s="7">
        <f>kg!$E$5</f>
        <v>39376.9</v>
      </c>
      <c r="L19" s="7">
        <f>'Single Exponen'!$E$34</f>
        <v>36080.720799999996</v>
      </c>
      <c r="M19" s="7">
        <f>'Double Exponen'!$E$34</f>
        <v>26323.229139999999</v>
      </c>
      <c r="N19" s="7">
        <f>'Konstanta a'!$E$34</f>
        <v>45838.212459999995</v>
      </c>
      <c r="O19" s="7">
        <f>'Konstanta b'!$E$34</f>
        <v>14636.237489999992</v>
      </c>
      <c r="P19" s="7">
        <f>Peramalan!$E$34</f>
        <v>45879.92349999999</v>
      </c>
      <c r="Q19" s="7">
        <f t="shared" si="6"/>
        <v>-16.514818332575668</v>
      </c>
      <c r="R19" s="7">
        <f t="shared" si="7"/>
        <v>16.514818332575668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Exponen'!$F$34</f>
        <v>28749.248319999999</v>
      </c>
      <c r="M20" s="7">
        <f>'Double Exponen'!$F$34</f>
        <v>26565.831058</v>
      </c>
      <c r="N20" s="7">
        <f>'Konstanta a'!$F$34</f>
        <v>30932.665581999998</v>
      </c>
      <c r="O20" s="7">
        <f>'Konstanta b'!$F$34</f>
        <v>3275.1258929999981</v>
      </c>
      <c r="P20" s="7">
        <f>Peramalan!$F$34</f>
        <v>60474.449949999987</v>
      </c>
      <c r="Q20" s="7">
        <f t="shared" si="6"/>
        <v>-153.43836938847349</v>
      </c>
      <c r="R20" s="7">
        <f t="shared" si="7"/>
        <v>153.43836938847349</v>
      </c>
    </row>
    <row r="21" spans="10:18" x14ac:dyDescent="0.3">
      <c r="J21" s="3" t="s">
        <v>7</v>
      </c>
      <c r="K21" s="7">
        <f>kg!$G$5</f>
        <v>57216.9</v>
      </c>
      <c r="L21" s="7">
        <f>'Single Exponen'!$G$34</f>
        <v>45829.839328000002</v>
      </c>
      <c r="M21" s="7">
        <f>'Double Exponen'!$G$34</f>
        <v>28492.231885000001</v>
      </c>
      <c r="N21" s="7">
        <f>'Konstanta a'!$G$34</f>
        <v>63167.446771000003</v>
      </c>
      <c r="O21" s="7">
        <f>'Konstanta b'!$G$34</f>
        <v>26006.411164499998</v>
      </c>
      <c r="P21" s="7">
        <f>Peramalan!$G$34</f>
        <v>34207.791474999998</v>
      </c>
      <c r="Q21" s="7">
        <f t="shared" si="6"/>
        <v>40.213832844841299</v>
      </c>
      <c r="R21" s="7">
        <f t="shared" si="7"/>
        <v>40.213832844841299</v>
      </c>
    </row>
    <row r="22" spans="10:18" x14ac:dyDescent="0.3">
      <c r="J22" s="3" t="s">
        <v>8</v>
      </c>
      <c r="K22" s="7">
        <f>kg!$H$5</f>
        <v>83736.7</v>
      </c>
      <c r="L22" s="7">
        <f>'Single Exponen'!$H$34</f>
        <v>68573.955731199996</v>
      </c>
      <c r="M22" s="7">
        <f>'Double Exponen'!$H$34</f>
        <v>32500.404269620001</v>
      </c>
      <c r="N22" s="7">
        <f>'Konstanta a'!$H$34</f>
        <v>104647.50719277999</v>
      </c>
      <c r="O22" s="7">
        <f>'Konstanta b'!$H$34</f>
        <v>54110.327192369979</v>
      </c>
      <c r="P22" s="7">
        <f>Peramalan!$H$34</f>
        <v>89173.857935499997</v>
      </c>
      <c r="Q22" s="7">
        <f t="shared" si="6"/>
        <v>-6.4931600307869779</v>
      </c>
      <c r="R22" s="7">
        <f t="shared" si="7"/>
        <v>6.4931600307869779</v>
      </c>
    </row>
    <row r="23" spans="10:18" x14ac:dyDescent="0.3">
      <c r="J23" s="3" t="s">
        <v>9</v>
      </c>
      <c r="K23" s="7">
        <f>kg!$I$5</f>
        <v>54053.2</v>
      </c>
      <c r="L23" s="7">
        <f>'Single Exponen'!$I$34</f>
        <v>59861.50229248</v>
      </c>
      <c r="M23" s="7">
        <f>'Double Exponen'!$I$34</f>
        <v>35236.514071906</v>
      </c>
      <c r="N23" s="7">
        <f>'Konstanta a'!$I$34</f>
        <v>84486.490513053999</v>
      </c>
      <c r="O23" s="7">
        <f>'Konstanta b'!$I$34</f>
        <v>36937.482330860992</v>
      </c>
      <c r="P23" s="7">
        <f>Peramalan!$I$34</f>
        <v>158757.83438514997</v>
      </c>
      <c r="Q23" s="7">
        <f t="shared" si="6"/>
        <v>-193.70663417734747</v>
      </c>
      <c r="R23" s="7">
        <f t="shared" si="7"/>
        <v>193.70663417734747</v>
      </c>
    </row>
    <row r="24" spans="10:18" x14ac:dyDescent="0.3">
      <c r="J24" s="3" t="s">
        <v>10</v>
      </c>
      <c r="K24" s="7">
        <f>kg!$J$5</f>
        <v>11264.5</v>
      </c>
      <c r="L24" s="7">
        <f>'Single Exponen'!$J$34</f>
        <v>30703.300916992001</v>
      </c>
      <c r="M24" s="7">
        <f>'Double Exponen'!$J$34</f>
        <v>34783.192756414603</v>
      </c>
      <c r="N24" s="7">
        <f>'Konstanta a'!$J$34</f>
        <v>26623.409077569399</v>
      </c>
      <c r="O24" s="7">
        <f>'Konstanta b'!$J$34</f>
        <v>-6119.8377591339022</v>
      </c>
      <c r="P24" s="7">
        <f>Peramalan!$J$34</f>
        <v>121423.97284391499</v>
      </c>
      <c r="Q24" s="7">
        <f t="shared" si="6"/>
        <v>-977.93486478685236</v>
      </c>
      <c r="R24" s="7">
        <f t="shared" si="7"/>
        <v>977.93486478685236</v>
      </c>
    </row>
    <row r="25" spans="10:18" x14ac:dyDescent="0.3">
      <c r="J25" s="3" t="s">
        <v>11</v>
      </c>
      <c r="K25" s="7">
        <f>kg!$K$5</f>
        <v>24215</v>
      </c>
      <c r="L25" s="7">
        <f>'Single Exponen'!$K$34</f>
        <v>26810.320366796801</v>
      </c>
      <c r="M25" s="7">
        <f>'Double Exponen'!$K$34</f>
        <v>33985.905517452826</v>
      </c>
      <c r="N25" s="7">
        <f>'Konstanta a'!$K$34</f>
        <v>19634.735216140776</v>
      </c>
      <c r="O25" s="7">
        <f>'Konstanta b'!$K$34</f>
        <v>-10763.377725984035</v>
      </c>
      <c r="P25" s="7">
        <f>Peramalan!$K$34</f>
        <v>20503.571318435497</v>
      </c>
      <c r="Q25" s="7">
        <f t="shared" si="6"/>
        <v>15.326981959795594</v>
      </c>
      <c r="R25" s="7">
        <f t="shared" si="7"/>
        <v>15.326981959795594</v>
      </c>
    </row>
    <row r="26" spans="10:18" x14ac:dyDescent="0.3">
      <c r="J26" s="3" t="s">
        <v>12</v>
      </c>
      <c r="K26" s="7">
        <f>kg!$L$5</f>
        <v>26860.6</v>
      </c>
      <c r="L26" s="7">
        <f>'Single Exponen'!$L$34</f>
        <v>26840.488146718722</v>
      </c>
      <c r="M26" s="7">
        <f>'Double Exponen'!$L$34</f>
        <v>33271.363780379412</v>
      </c>
      <c r="N26" s="7">
        <f>'Konstanta a'!$L$34</f>
        <v>20409.612513058033</v>
      </c>
      <c r="O26" s="7">
        <f>'Konstanta b'!$L$34</f>
        <v>-9646.3134504910322</v>
      </c>
      <c r="P26" s="7">
        <f>Peramalan!$L$34</f>
        <v>8871.3574901567408</v>
      </c>
      <c r="Q26" s="7">
        <f t="shared" si="6"/>
        <v>66.972601169904095</v>
      </c>
      <c r="R26" s="7">
        <f t="shared" si="7"/>
        <v>66.972601169904095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Exponen'!$M$34</f>
        <v>31047.815258687489</v>
      </c>
      <c r="M27" s="7">
        <f>'Double Exponen'!$M$34</f>
        <v>33049.008928210227</v>
      </c>
      <c r="N27" s="7">
        <f>'Konstanta a'!$M$34</f>
        <v>29046.621589164752</v>
      </c>
      <c r="O27" s="7">
        <f>'Konstanta b'!$M$34</f>
        <v>-3001.7905042841062</v>
      </c>
      <c r="P27" s="7">
        <f>Peramalan!$M$34</f>
        <v>10763.299062567001</v>
      </c>
      <c r="Q27" s="7">
        <f t="shared" si="6"/>
        <v>68.205493025469167</v>
      </c>
      <c r="R27" s="7">
        <f t="shared" si="7"/>
        <v>68.205493025469167</v>
      </c>
    </row>
    <row r="28" spans="10:18" x14ac:dyDescent="0.3">
      <c r="Q28" s="6">
        <f>(SUM(Q17:Q27)/12)</f>
        <v>-101.81216370160189</v>
      </c>
      <c r="R28" s="6">
        <f>(SUM(R17:R27)/12)</f>
        <v>141.00422675140467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Exponen'!$B$35</f>
        <v>4698.6499999999996</v>
      </c>
      <c r="M30" s="7">
        <f>'Double Exponen'!$B$35</f>
        <v>4698.6499999999996</v>
      </c>
      <c r="N30" s="7">
        <f>'Konstanta a'!$B$35</f>
        <v>4698.6499999999996</v>
      </c>
      <c r="O30" s="7">
        <f>'Konstanta b'!$B$35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Exponen'!$C$35</f>
        <v>7066.46</v>
      </c>
      <c r="M31" s="7">
        <f>'Double Exponen'!$C$35</f>
        <v>4935.4310000000005</v>
      </c>
      <c r="N31" s="7">
        <f>'Konstanta a'!$C$35</f>
        <v>9197.4889999999996</v>
      </c>
      <c r="O31" s="7">
        <f>'Konstanta b'!$C$35</f>
        <v>3196.5434999999989</v>
      </c>
      <c r="P31" s="7">
        <f>Peramalan!$C$35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Exponen'!$D$35</f>
        <v>7620.2540000000008</v>
      </c>
      <c r="M32" s="7">
        <f>'Double Exponen'!$D$35</f>
        <v>5203.9133000000002</v>
      </c>
      <c r="N32" s="7">
        <f>'Konstanta a'!$D$35</f>
        <v>10036.594700000001</v>
      </c>
      <c r="O32" s="7">
        <f>'Konstanta b'!$D$35</f>
        <v>3624.5110500000005</v>
      </c>
      <c r="P32" s="7">
        <f>Peramalan!$D$35</f>
        <v>12394.032499999998</v>
      </c>
      <c r="Q32" s="7">
        <f t="shared" ref="Q32:Q41" si="8">((K32-P32)/K32)*100</f>
        <v>-55.129983916289582</v>
      </c>
      <c r="R32" s="7">
        <f t="shared" ref="R32:R41" si="9">ABS((K32-P32)/K32)*100</f>
        <v>55.129983916289582</v>
      </c>
    </row>
    <row r="33" spans="10:18" x14ac:dyDescent="0.3">
      <c r="J33" s="3" t="s">
        <v>5</v>
      </c>
      <c r="K33" s="7">
        <f>kg!$E$6</f>
        <v>6543.56</v>
      </c>
      <c r="L33" s="7">
        <f>'Single Exponen'!$E$35</f>
        <v>6974.2376000000004</v>
      </c>
      <c r="M33" s="7">
        <f>'Double Exponen'!$E$35</f>
        <v>5380.9457299999995</v>
      </c>
      <c r="N33" s="7">
        <f>'Konstanta a'!$E$35</f>
        <v>8567.5294700000013</v>
      </c>
      <c r="O33" s="7">
        <f>'Konstanta b'!$E$35</f>
        <v>2389.9378050000009</v>
      </c>
      <c r="P33" s="7">
        <f>Peramalan!$E$35</f>
        <v>13661.105750000002</v>
      </c>
      <c r="Q33" s="7">
        <f t="shared" si="8"/>
        <v>-108.77176567495373</v>
      </c>
      <c r="R33" s="7">
        <f t="shared" si="9"/>
        <v>108.77176567495373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Exponen'!$F$35</f>
        <v>30208.255039999996</v>
      </c>
      <c r="M34" s="7">
        <f>'Double Exponen'!$F$35</f>
        <v>7863.6766609999995</v>
      </c>
      <c r="N34" s="7">
        <f>'Konstanta a'!$F$35</f>
        <v>52552.833418999995</v>
      </c>
      <c r="O34" s="7">
        <f>'Konstanta b'!$F$35</f>
        <v>33516.867568499991</v>
      </c>
      <c r="P34" s="7">
        <f>Peramalan!$F$35</f>
        <v>10957.467275000003</v>
      </c>
      <c r="Q34" s="7">
        <f t="shared" si="8"/>
        <v>76.021788288662847</v>
      </c>
      <c r="R34" s="7">
        <f t="shared" si="9"/>
        <v>76.021788288662847</v>
      </c>
    </row>
    <row r="35" spans="10:18" x14ac:dyDescent="0.3">
      <c r="J35" s="3" t="s">
        <v>7</v>
      </c>
      <c r="K35" s="7">
        <f>kg!$G$6</f>
        <v>6943.02</v>
      </c>
      <c r="L35" s="7">
        <f>'Single Exponen'!$G$35</f>
        <v>16249.114016</v>
      </c>
      <c r="M35" s="7">
        <f>'Double Exponen'!$G$35</f>
        <v>8702.2203965000008</v>
      </c>
      <c r="N35" s="7">
        <f>'Konstanta a'!$G$35</f>
        <v>23796.007635499998</v>
      </c>
      <c r="O35" s="7">
        <f>'Konstanta b'!$G$35</f>
        <v>11320.340429249996</v>
      </c>
      <c r="P35" s="7">
        <f>Peramalan!$G$35</f>
        <v>86069.700987499993</v>
      </c>
      <c r="Q35" s="7">
        <f t="shared" si="8"/>
        <v>-1139.6579728633935</v>
      </c>
      <c r="R35" s="7">
        <f t="shared" si="9"/>
        <v>1139.6579728633935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Exponen'!$H$35</f>
        <v>11676.2716064</v>
      </c>
      <c r="M36" s="7">
        <f>'Double Exponen'!$H$35</f>
        <v>8999.6255174899998</v>
      </c>
      <c r="N36" s="7">
        <f>'Konstanta a'!$H$35</f>
        <v>14352.91769531</v>
      </c>
      <c r="O36" s="7">
        <f>'Konstanta b'!$H$35</f>
        <v>4014.9691333649994</v>
      </c>
      <c r="P36" s="7">
        <f>Peramalan!$H$35</f>
        <v>35116.348064749996</v>
      </c>
      <c r="Q36" s="7">
        <f t="shared" si="8"/>
        <v>-307.01817822747864</v>
      </c>
      <c r="R36" s="7">
        <f t="shared" si="9"/>
        <v>307.01817822747864</v>
      </c>
    </row>
    <row r="37" spans="10:18" x14ac:dyDescent="0.3">
      <c r="J37" s="3" t="s">
        <v>9</v>
      </c>
      <c r="K37" s="7">
        <f>kg!$I$6</f>
        <v>17194</v>
      </c>
      <c r="L37" s="7">
        <f>'Single Exponen'!$I$35</f>
        <v>14986.90864256</v>
      </c>
      <c r="M37" s="7">
        <f>'Double Exponen'!$I$35</f>
        <v>9598.3538299970005</v>
      </c>
      <c r="N37" s="7">
        <f>'Konstanta a'!$I$35</f>
        <v>20375.463455122997</v>
      </c>
      <c r="O37" s="7">
        <f>'Konstanta b'!$I$35</f>
        <v>8082.8322188444981</v>
      </c>
      <c r="P37" s="7">
        <f>Peramalan!$I$35</f>
        <v>18367.886828675</v>
      </c>
      <c r="Q37" s="7">
        <f t="shared" si="8"/>
        <v>-6.8273050405664781</v>
      </c>
      <c r="R37" s="7">
        <f t="shared" si="9"/>
        <v>6.8273050405664781</v>
      </c>
    </row>
    <row r="38" spans="10:18" x14ac:dyDescent="0.3">
      <c r="J38" s="3" t="s">
        <v>10</v>
      </c>
      <c r="K38" s="7">
        <f>kg!$J$6</f>
        <v>17242</v>
      </c>
      <c r="L38" s="7">
        <f>'Single Exponen'!$J$35</f>
        <v>16339.963457024</v>
      </c>
      <c r="M38" s="7">
        <f>'Double Exponen'!$J$35</f>
        <v>10272.514792699702</v>
      </c>
      <c r="N38" s="7">
        <f>'Konstanta a'!$J$35</f>
        <v>22407.412121348298</v>
      </c>
      <c r="O38" s="7">
        <f>'Konstanta b'!$J$35</f>
        <v>9101.1729964864462</v>
      </c>
      <c r="P38" s="7">
        <f>Peramalan!$J$35</f>
        <v>28458.295673967496</v>
      </c>
      <c r="Q38" s="7">
        <f t="shared" si="8"/>
        <v>-65.05217303078237</v>
      </c>
      <c r="R38" s="7">
        <f t="shared" si="9"/>
        <v>65.05217303078237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Exponen'!$K$35</f>
        <v>27636.305382809594</v>
      </c>
      <c r="M39" s="7">
        <f>'Double Exponen'!$K$35</f>
        <v>12008.893851710691</v>
      </c>
      <c r="N39" s="7">
        <f>'Konstanta a'!$K$35</f>
        <v>43263.716913908502</v>
      </c>
      <c r="O39" s="7">
        <f>'Konstanta b'!$K$35</f>
        <v>23441.117296648354</v>
      </c>
      <c r="P39" s="7">
        <f>Peramalan!$K$35</f>
        <v>31508.585117834744</v>
      </c>
      <c r="Q39" s="7">
        <f t="shared" si="8"/>
        <v>10.403486436694571</v>
      </c>
      <c r="R39" s="7">
        <f t="shared" si="9"/>
        <v>10.403486436694571</v>
      </c>
    </row>
    <row r="40" spans="10:18" x14ac:dyDescent="0.3">
      <c r="J40" s="3" t="s">
        <v>12</v>
      </c>
      <c r="K40" s="7">
        <f>kg!$L$6</f>
        <v>6543.4</v>
      </c>
      <c r="L40" s="7">
        <f>'Single Exponen'!$L$35</f>
        <v>14980.562153123838</v>
      </c>
      <c r="M40" s="7">
        <f>'Double Exponen'!$L$35</f>
        <v>12306.060681852006</v>
      </c>
      <c r="N40" s="7">
        <f>'Konstanta a'!$L$35</f>
        <v>17655.063624395669</v>
      </c>
      <c r="O40" s="7">
        <f>'Konstanta b'!$L$35</f>
        <v>4011.7522069077463</v>
      </c>
      <c r="P40" s="7">
        <f>Peramalan!$L$35</f>
        <v>66704.834210556859</v>
      </c>
      <c r="Q40" s="7">
        <f t="shared" si="8"/>
        <v>-919.4216188916597</v>
      </c>
      <c r="R40" s="7">
        <f t="shared" si="9"/>
        <v>919.4216188916597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Exponen'!$M$35</f>
        <v>11033.148861249534</v>
      </c>
      <c r="M41" s="7">
        <f>'Double Exponen'!$M$35</f>
        <v>12178.769499791761</v>
      </c>
      <c r="N41" s="7">
        <f>'Konstanta a'!$M$35</f>
        <v>9887.5282227073076</v>
      </c>
      <c r="O41" s="7">
        <f>'Konstanta b'!$M$35</f>
        <v>-1718.4309578133395</v>
      </c>
      <c r="P41" s="7">
        <f>Peramalan!$M$35</f>
        <v>21666.815831303415</v>
      </c>
      <c r="Q41" s="7">
        <f t="shared" si="8"/>
        <v>-157.89100368865007</v>
      </c>
      <c r="R41" s="7">
        <f t="shared" si="9"/>
        <v>157.89100368865007</v>
      </c>
    </row>
    <row r="42" spans="10:18" x14ac:dyDescent="0.3">
      <c r="Q42" s="6">
        <f>(SUM(Q31:Q41)/12)</f>
        <v>-218.97464971592214</v>
      </c>
      <c r="R42" s="6">
        <f>(SUM(R31:R41)/12)</f>
        <v>240.98701717304019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462D2-C1AC-4E6D-9DE4-2ED70B13BB85}">
  <dimension ref="A1:AA42"/>
  <sheetViews>
    <sheetView workbookViewId="0">
      <selection activeCell="T1" sqref="T1:AA1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7" width="9.44140625" style="1" bestFit="1" customWidth="1"/>
    <col min="8" max="8" width="8.109375" style="1" bestFit="1" customWidth="1"/>
    <col min="9" max="9" width="7.44140625" style="1" bestFit="1" customWidth="1"/>
    <col min="10" max="10" width="13.6640625" style="1" bestFit="1" customWidth="1"/>
    <col min="11" max="14" width="9.44140625" style="1" bestFit="1" customWidth="1"/>
    <col min="15" max="16" width="10.109375" style="1" bestFit="1" customWidth="1"/>
    <col min="17" max="17" width="8.109375" style="1" bestFit="1" customWidth="1"/>
    <col min="18" max="18" width="7.44140625" style="1" bestFit="1" customWidth="1"/>
    <col min="19" max="19" width="14.109375" style="1" bestFit="1" customWidth="1"/>
    <col min="20" max="22" width="8.44140625" style="1" bestFit="1" customWidth="1"/>
    <col min="23" max="24" width="9.109375" style="1" bestFit="1" customWidth="1"/>
    <col min="25" max="25" width="9.4414062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Exponen'!$B$38</f>
        <v>12588.09</v>
      </c>
      <c r="D2" s="7">
        <f>'Double Exponen'!$B$38</f>
        <v>12588.09</v>
      </c>
      <c r="E2" s="7">
        <f>'Konstanta a'!$B$38</f>
        <v>12588.09</v>
      </c>
      <c r="F2" s="7">
        <f>'Konstanta b'!$B$38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Exponen'!$B$39</f>
        <v>459915.78</v>
      </c>
      <c r="M2" s="7">
        <f>'Double Exponen'!$B$39</f>
        <v>459915.78</v>
      </c>
      <c r="N2" s="7">
        <f>'Konstanta a'!$B$39</f>
        <v>459915.78</v>
      </c>
      <c r="O2" s="7">
        <f>'Konstanta b'!$B$39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Exponen'!$B$42</f>
        <v>1033.08</v>
      </c>
      <c r="V2" s="7">
        <f>'Double Exponen'!$B$42</f>
        <v>1033.08</v>
      </c>
      <c r="W2" s="7">
        <f>'Konstanta a'!$B$42</f>
        <v>1033.08</v>
      </c>
      <c r="X2" s="7">
        <f>'Konstanta b'!$B$42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Exponen'!$C$38</f>
        <v>7129.2520000000004</v>
      </c>
      <c r="D3" s="7">
        <f>'Double Exponen'!$C$38</f>
        <v>12042.206200000001</v>
      </c>
      <c r="E3" s="7">
        <f>'Konstanta a'!$C$38</f>
        <v>2216.2978000000003</v>
      </c>
      <c r="F3" s="7">
        <f>'Konstanta b'!$C$38</f>
        <v>-11463.559799999999</v>
      </c>
      <c r="G3" s="7">
        <f>Peramalan!$C$38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Exponen'!$C$39</f>
        <v>416029.26600000006</v>
      </c>
      <c r="M3" s="7">
        <f>'Double Exponen'!$C$39</f>
        <v>455527.12860000005</v>
      </c>
      <c r="N3" s="7">
        <f>'Konstanta a'!$C$39</f>
        <v>376531.40340000007</v>
      </c>
      <c r="O3" s="7">
        <f>'Konstanta b'!$C$39</f>
        <v>-92161.679399999979</v>
      </c>
      <c r="P3" s="7">
        <f>Peramalan!$C$39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Exponen'!$C$42</f>
        <v>18144.481999999996</v>
      </c>
      <c r="V3" s="7">
        <f>'Double Exponen'!$C$42</f>
        <v>2744.2201999999997</v>
      </c>
      <c r="W3" s="7">
        <f>'Konstanta a'!$C$42</f>
        <v>33544.743799999997</v>
      </c>
      <c r="X3" s="7">
        <f>'Konstanta b'!$C$42</f>
        <v>35933.944199999991</v>
      </c>
      <c r="Y3" s="7">
        <f>Peramalan!$C$42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Exponen'!$D$38</f>
        <v>16856.863600000001</v>
      </c>
      <c r="D4" s="7">
        <f>'Double Exponen'!$D$38</f>
        <v>12523.67194</v>
      </c>
      <c r="E4" s="7">
        <f>'Konstanta a'!$D$38</f>
        <v>21190.055260000001</v>
      </c>
      <c r="F4" s="7">
        <f>'Konstanta b'!$D$38</f>
        <v>10110.78054</v>
      </c>
      <c r="G4" s="7">
        <f>Peramalan!$D$38</f>
        <v>-9247.2619999999988</v>
      </c>
      <c r="H4" s="7">
        <f t="shared" ref="H4:H13" si="0">((B4-G4)/B4)*100</f>
        <v>143.98046403853544</v>
      </c>
      <c r="I4" s="7">
        <f t="shared" ref="I4:I13" si="1">ABS((B4-G4)/B4)*100</f>
        <v>143.98046403853544</v>
      </c>
      <c r="J4" s="3" t="s">
        <v>4</v>
      </c>
      <c r="K4" s="7">
        <f>kg!$D$4</f>
        <v>389238.98</v>
      </c>
      <c r="L4" s="7">
        <f>'Single Exponen'!$D$39</f>
        <v>397276.06579999998</v>
      </c>
      <c r="M4" s="7">
        <f>'Double Exponen'!$D$39</f>
        <v>449702.02232000005</v>
      </c>
      <c r="N4" s="7">
        <f>'Konstanta a'!$D$39</f>
        <v>344850.10927999992</v>
      </c>
      <c r="O4" s="7">
        <f>'Konstanta b'!$D$39</f>
        <v>-122327.23188000014</v>
      </c>
      <c r="P4" s="7">
        <f>Peramalan!$D$39</f>
        <v>284369.7240000001</v>
      </c>
      <c r="Q4" s="7">
        <f t="shared" ref="Q4:Q13" si="2">((K4-P4)/K4)*100</f>
        <v>26.942125888830525</v>
      </c>
      <c r="R4" s="7">
        <f t="shared" ref="R4:R13" si="3">ABS((K4-P4)/K4)*100</f>
        <v>26.942125888830525</v>
      </c>
      <c r="S4" s="3" t="s">
        <v>4</v>
      </c>
      <c r="T4" s="7">
        <f>kg!$D$7</f>
        <v>19497.02</v>
      </c>
      <c r="U4" s="7">
        <f>'Single Exponen'!$D$42</f>
        <v>19091.258599999997</v>
      </c>
      <c r="V4" s="7">
        <f>'Double Exponen'!$D$42</f>
        <v>4378.9240399999999</v>
      </c>
      <c r="W4" s="7">
        <f>'Konstanta a'!$D$42</f>
        <v>33803.593159999997</v>
      </c>
      <c r="X4" s="7">
        <f>'Konstanta b'!$D$42</f>
        <v>34328.78063999999</v>
      </c>
      <c r="Y4" s="7">
        <f>Peramalan!$D$42</f>
        <v>69478.687999999995</v>
      </c>
      <c r="Z4" s="7">
        <f t="shared" ref="Z4:Z13" si="4">((T4-Y4)/T4)*100</f>
        <v>-256.35542252098008</v>
      </c>
      <c r="AA4" s="7">
        <f t="shared" ref="AA4:AA13" si="5">ABS((T4-Y4)/T4)*100</f>
        <v>256.35542252098008</v>
      </c>
    </row>
    <row r="5" spans="1:27" x14ac:dyDescent="0.3">
      <c r="A5" s="3" t="s">
        <v>5</v>
      </c>
      <c r="B5" s="7">
        <f>kg!$E$3</f>
        <v>11100.97</v>
      </c>
      <c r="C5" s="7">
        <f>'Single Exponen'!$E$38</f>
        <v>12827.738079999999</v>
      </c>
      <c r="D5" s="7">
        <f>'Double Exponen'!$E$38</f>
        <v>12554.078554000002</v>
      </c>
      <c r="E5" s="7">
        <f>'Konstanta a'!$E$38</f>
        <v>13101.397605999997</v>
      </c>
      <c r="F5" s="7">
        <f>'Konstanta b'!$E$38</f>
        <v>638.53889399999446</v>
      </c>
      <c r="G5" s="7">
        <f>Peramalan!$E$38</f>
        <v>31300.835800000001</v>
      </c>
      <c r="H5" s="7">
        <f t="shared" si="0"/>
        <v>-181.96487153825299</v>
      </c>
      <c r="I5" s="7">
        <f t="shared" si="1"/>
        <v>181.96487153825299</v>
      </c>
      <c r="J5" s="3" t="s">
        <v>5</v>
      </c>
      <c r="K5" s="7">
        <f>kg!$E$4</f>
        <v>505904.1</v>
      </c>
      <c r="L5" s="7">
        <f>'Single Exponen'!$E$39</f>
        <v>473315.68973999994</v>
      </c>
      <c r="M5" s="7">
        <f>'Double Exponen'!$E$39</f>
        <v>452063.38906200003</v>
      </c>
      <c r="N5" s="7">
        <f>'Konstanta a'!$E$39</f>
        <v>494567.99041799986</v>
      </c>
      <c r="O5" s="7">
        <f>'Konstanta b'!$E$39</f>
        <v>49588.701581999791</v>
      </c>
      <c r="P5" s="7">
        <f>Peramalan!$E$39</f>
        <v>222522.87739999976</v>
      </c>
      <c r="Q5" s="7">
        <f t="shared" si="2"/>
        <v>56.014810435416564</v>
      </c>
      <c r="R5" s="7">
        <f t="shared" si="3"/>
        <v>56.014810435416564</v>
      </c>
      <c r="S5" s="3" t="s">
        <v>5</v>
      </c>
      <c r="T5" s="7">
        <f>kg!$E$7</f>
        <v>18855.900000000001</v>
      </c>
      <c r="U5" s="7">
        <f>'Single Exponen'!$E$42</f>
        <v>18926.507580000001</v>
      </c>
      <c r="V5" s="7">
        <f>'Double Exponen'!$E$42</f>
        <v>5833.6823939999995</v>
      </c>
      <c r="W5" s="7">
        <f>'Konstanta a'!$E$42</f>
        <v>32019.332766000003</v>
      </c>
      <c r="X5" s="7">
        <f>'Konstanta b'!$E$42</f>
        <v>30549.925434000001</v>
      </c>
      <c r="Y5" s="7">
        <f>Peramalan!$E$42</f>
        <v>68132.373799999987</v>
      </c>
      <c r="Z5" s="7">
        <f t="shared" si="4"/>
        <v>-261.33185793306069</v>
      </c>
      <c r="AA5" s="7">
        <f t="shared" si="5"/>
        <v>261.33185793306069</v>
      </c>
    </row>
    <row r="6" spans="1:27" x14ac:dyDescent="0.3">
      <c r="A6" s="3" t="s">
        <v>6</v>
      </c>
      <c r="B6" s="7">
        <f>kg!$F$3</f>
        <v>9095.66</v>
      </c>
      <c r="C6" s="7">
        <f>'Single Exponen'!$F$38</f>
        <v>10215.283423999999</v>
      </c>
      <c r="D6" s="7">
        <f>'Double Exponen'!$F$38</f>
        <v>12320.199041000003</v>
      </c>
      <c r="E6" s="7">
        <f>'Konstanta a'!$F$38</f>
        <v>8110.3678069999951</v>
      </c>
      <c r="F6" s="7">
        <f>'Konstanta b'!$F$38</f>
        <v>-4911.4697730000089</v>
      </c>
      <c r="G6" s="7">
        <f>Peramalan!$F$38</f>
        <v>13739.936499999991</v>
      </c>
      <c r="H6" s="7">
        <f t="shared" si="0"/>
        <v>-51.060357357245003</v>
      </c>
      <c r="I6" s="7">
        <f t="shared" si="1"/>
        <v>51.060357357245003</v>
      </c>
      <c r="J6" s="3" t="s">
        <v>6</v>
      </c>
      <c r="K6" s="7">
        <f>kg!$F$4</f>
        <v>201079.58</v>
      </c>
      <c r="L6" s="7">
        <f>'Single Exponen'!$F$39</f>
        <v>282750.41292199999</v>
      </c>
      <c r="M6" s="7">
        <f>'Double Exponen'!$F$39</f>
        <v>435132.09144800005</v>
      </c>
      <c r="N6" s="7">
        <f>'Konstanta a'!$F$39</f>
        <v>130368.73439599993</v>
      </c>
      <c r="O6" s="7">
        <f>'Konstanta b'!$F$39</f>
        <v>-355557.24989400012</v>
      </c>
      <c r="P6" s="7">
        <f>Peramalan!$F$39</f>
        <v>544156.69199999969</v>
      </c>
      <c r="Q6" s="7">
        <f t="shared" si="2"/>
        <v>-170.61757936832757</v>
      </c>
      <c r="R6" s="7">
        <f t="shared" si="3"/>
        <v>170.61757936832757</v>
      </c>
      <c r="S6" s="3" t="s">
        <v>6</v>
      </c>
      <c r="T6" s="7">
        <f>kg!$F$7</f>
        <v>26851.599999999999</v>
      </c>
      <c r="U6" s="7">
        <f>'Single Exponen'!$F$42</f>
        <v>24474.072273999998</v>
      </c>
      <c r="V6" s="7">
        <f>'Double Exponen'!$F$42</f>
        <v>7697.7213819999997</v>
      </c>
      <c r="W6" s="7">
        <f>'Konstanta a'!$F$42</f>
        <v>41250.423165999993</v>
      </c>
      <c r="X6" s="7">
        <f>'Konstanta b'!$F$42</f>
        <v>39144.818747999991</v>
      </c>
      <c r="Y6" s="7">
        <f>Peramalan!$F$42</f>
        <v>62569.258200000004</v>
      </c>
      <c r="Z6" s="7">
        <f t="shared" si="4"/>
        <v>-133.01873333432647</v>
      </c>
      <c r="AA6" s="7">
        <f t="shared" si="5"/>
        <v>133.01873333432647</v>
      </c>
    </row>
    <row r="7" spans="1:27" x14ac:dyDescent="0.3">
      <c r="A7" s="3" t="s">
        <v>7</v>
      </c>
      <c r="B7" s="7">
        <f>kg!$G$3</f>
        <v>8185.36</v>
      </c>
      <c r="C7" s="7">
        <f>'Single Exponen'!$G$38</f>
        <v>8794.3370271999993</v>
      </c>
      <c r="D7" s="7">
        <f>'Double Exponen'!$G$38</f>
        <v>11967.612839620004</v>
      </c>
      <c r="E7" s="7">
        <f>'Konstanta a'!$G$38</f>
        <v>5621.0612147799948</v>
      </c>
      <c r="F7" s="7">
        <f>'Konstanta b'!$G$38</f>
        <v>-7404.3102289800099</v>
      </c>
      <c r="G7" s="7">
        <f>Peramalan!$G$38</f>
        <v>3198.8980339999862</v>
      </c>
      <c r="H7" s="7">
        <f t="shared" si="0"/>
        <v>60.919274973855927</v>
      </c>
      <c r="I7" s="7">
        <f t="shared" si="1"/>
        <v>60.919274973855927</v>
      </c>
      <c r="J7" s="3" t="s">
        <v>7</v>
      </c>
      <c r="K7" s="7">
        <f>kg!$G$4</f>
        <v>378271.8</v>
      </c>
      <c r="L7" s="7">
        <f>'Single Exponen'!$G$39</f>
        <v>349615.38387659995</v>
      </c>
      <c r="M7" s="7">
        <f>'Double Exponen'!$G$39</f>
        <v>426580.42069086002</v>
      </c>
      <c r="N7" s="7">
        <f>'Konstanta a'!$G$39</f>
        <v>272650.34706233989</v>
      </c>
      <c r="O7" s="7">
        <f>'Konstanta b'!$G$39</f>
        <v>-179585.08589994014</v>
      </c>
      <c r="P7" s="7">
        <f>Peramalan!$G$39</f>
        <v>-225188.5154980002</v>
      </c>
      <c r="Q7" s="7">
        <f t="shared" si="2"/>
        <v>159.53087581416332</v>
      </c>
      <c r="R7" s="7">
        <f t="shared" si="3"/>
        <v>159.53087581416332</v>
      </c>
      <c r="S7" s="3" t="s">
        <v>7</v>
      </c>
      <c r="T7" s="7">
        <f>kg!$G$7</f>
        <v>17468.29</v>
      </c>
      <c r="U7" s="7">
        <f>'Single Exponen'!$G$42</f>
        <v>19570.024682200001</v>
      </c>
      <c r="V7" s="7">
        <f>'Double Exponen'!$G$42</f>
        <v>8884.9517120199998</v>
      </c>
      <c r="W7" s="7">
        <f>'Konstanta a'!$G$42</f>
        <v>30255.097652380002</v>
      </c>
      <c r="X7" s="7">
        <f>'Konstanta b'!$G$42</f>
        <v>24931.836930419999</v>
      </c>
      <c r="Y7" s="7">
        <f>Peramalan!$G$42</f>
        <v>80395.241913999984</v>
      </c>
      <c r="Z7" s="7">
        <f t="shared" si="4"/>
        <v>-360.23532878146619</v>
      </c>
      <c r="AA7" s="7">
        <f t="shared" si="5"/>
        <v>360.23532878146619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Exponen'!$H$38</f>
        <v>15424.08110816</v>
      </c>
      <c r="D8" s="7">
        <f>'Double Exponen'!$H$38</f>
        <v>12313.259666474005</v>
      </c>
      <c r="E8" s="7">
        <f>'Konstanta a'!$H$38</f>
        <v>18534.902549845996</v>
      </c>
      <c r="F8" s="7">
        <f>'Konstanta b'!$H$38</f>
        <v>7258.5833639339889</v>
      </c>
      <c r="G8" s="7">
        <f>Peramalan!$H$38</f>
        <v>-1783.2490142000152</v>
      </c>
      <c r="H8" s="7">
        <f t="shared" si="0"/>
        <v>109.76298911712865</v>
      </c>
      <c r="I8" s="7">
        <f t="shared" si="1"/>
        <v>109.76298911712865</v>
      </c>
      <c r="J8" s="3" t="s">
        <v>8</v>
      </c>
      <c r="K8" s="7">
        <f>kg!$H$4</f>
        <v>463478.68</v>
      </c>
      <c r="L8" s="7">
        <f>'Single Exponen'!$H$39</f>
        <v>429319.69116297999</v>
      </c>
      <c r="M8" s="7">
        <f>'Double Exponen'!$H$39</f>
        <v>426854.34773807204</v>
      </c>
      <c r="N8" s="7">
        <f>'Konstanta a'!$H$39</f>
        <v>431785.03458788793</v>
      </c>
      <c r="O8" s="7">
        <f>'Konstanta b'!$H$39</f>
        <v>5752.4679914518683</v>
      </c>
      <c r="P8" s="7">
        <f>Peramalan!$H$39</f>
        <v>93065.261162399751</v>
      </c>
      <c r="Q8" s="7">
        <f t="shared" si="2"/>
        <v>79.920271378523879</v>
      </c>
      <c r="R8" s="7">
        <f t="shared" si="3"/>
        <v>79.920271378523879</v>
      </c>
      <c r="S8" s="3" t="s">
        <v>8</v>
      </c>
      <c r="T8" s="7">
        <f>kg!$H$7</f>
        <v>53358.239999999998</v>
      </c>
      <c r="U8" s="7">
        <f>'Single Exponen'!$H$42</f>
        <v>43221.775404659995</v>
      </c>
      <c r="V8" s="7">
        <f>'Double Exponen'!$H$42</f>
        <v>12318.634081284003</v>
      </c>
      <c r="W8" s="7">
        <f>'Konstanta a'!$H$42</f>
        <v>74124.916728035983</v>
      </c>
      <c r="X8" s="7">
        <f>'Konstanta b'!$H$42</f>
        <v>72107.329754543971</v>
      </c>
      <c r="Y8" s="7">
        <f>Peramalan!$H$42</f>
        <v>55186.9345828</v>
      </c>
      <c r="Z8" s="7">
        <f t="shared" si="4"/>
        <v>-3.4272018394909627</v>
      </c>
      <c r="AA8" s="7">
        <f t="shared" si="5"/>
        <v>3.4272018394909627</v>
      </c>
    </row>
    <row r="9" spans="1:27" x14ac:dyDescent="0.3">
      <c r="A9" s="3" t="s">
        <v>9</v>
      </c>
      <c r="B9" s="7">
        <f>kg!$I$3</f>
        <v>11044.68</v>
      </c>
      <c r="C9" s="7">
        <f>'Single Exponen'!$I$38</f>
        <v>12358.500332448</v>
      </c>
      <c r="D9" s="7">
        <f>'Double Exponen'!$I$38</f>
        <v>12317.783733071405</v>
      </c>
      <c r="E9" s="7">
        <f>'Konstanta a'!$I$38</f>
        <v>12399.216931824596</v>
      </c>
      <c r="F9" s="7">
        <f>'Konstanta b'!$I$38</f>
        <v>95.005398545389937</v>
      </c>
      <c r="G9" s="7">
        <f>Peramalan!$I$38</f>
        <v>25793.485913779987</v>
      </c>
      <c r="H9" s="7">
        <f t="shared" si="0"/>
        <v>-133.53764811456725</v>
      </c>
      <c r="I9" s="7">
        <f t="shared" si="1"/>
        <v>133.53764811456725</v>
      </c>
      <c r="J9" s="3" t="s">
        <v>9</v>
      </c>
      <c r="K9" s="7">
        <f>kg!$I$4</f>
        <v>511860.86</v>
      </c>
      <c r="L9" s="7">
        <f>'Single Exponen'!$I$39</f>
        <v>487098.509348894</v>
      </c>
      <c r="M9" s="7">
        <f>'Double Exponen'!$I$39</f>
        <v>432878.76389915426</v>
      </c>
      <c r="N9" s="7">
        <f>'Konstanta a'!$I$39</f>
        <v>541318.25479863374</v>
      </c>
      <c r="O9" s="7">
        <f>'Konstanta b'!$I$39</f>
        <v>126512.73938272605</v>
      </c>
      <c r="P9" s="7">
        <f>Peramalan!$I$39</f>
        <v>437537.50257933978</v>
      </c>
      <c r="Q9" s="7">
        <f t="shared" si="2"/>
        <v>14.520226731276193</v>
      </c>
      <c r="R9" s="7">
        <f t="shared" si="3"/>
        <v>14.520226731276193</v>
      </c>
      <c r="S9" s="3" t="s">
        <v>9</v>
      </c>
      <c r="T9" s="7">
        <f>kg!$I$7</f>
        <v>31973.26</v>
      </c>
      <c r="U9" s="7">
        <f>'Single Exponen'!$I$42</f>
        <v>35347.814621398</v>
      </c>
      <c r="V9" s="7">
        <f>'Double Exponen'!$I$42</f>
        <v>14621.552135295404</v>
      </c>
      <c r="W9" s="7">
        <f>'Konstanta a'!$I$42</f>
        <v>56074.077107500598</v>
      </c>
      <c r="X9" s="7">
        <f>'Konstanta b'!$I$42</f>
        <v>48361.27913423939</v>
      </c>
      <c r="Y9" s="7">
        <f>Peramalan!$I$42</f>
        <v>146232.24648257997</v>
      </c>
      <c r="Z9" s="7">
        <f t="shared" si="4"/>
        <v>-357.35794999502701</v>
      </c>
      <c r="AA9" s="7">
        <f t="shared" si="5"/>
        <v>357.35794999502701</v>
      </c>
    </row>
    <row r="10" spans="1:27" x14ac:dyDescent="0.3">
      <c r="A10" s="3" t="s">
        <v>10</v>
      </c>
      <c r="B10" s="7">
        <f>kg!$J$3</f>
        <v>10889.55</v>
      </c>
      <c r="C10" s="7">
        <f>'Single Exponen'!$J$38</f>
        <v>11330.2350997344</v>
      </c>
      <c r="D10" s="7">
        <f>'Double Exponen'!$J$38</f>
        <v>12219.028869737704</v>
      </c>
      <c r="E10" s="7">
        <f>'Konstanta a'!$J$38</f>
        <v>10441.441329731097</v>
      </c>
      <c r="F10" s="7">
        <f>'Konstanta b'!$J$38</f>
        <v>-2073.8521300077077</v>
      </c>
      <c r="G10" s="7">
        <f>Peramalan!$J$38</f>
        <v>12494.222330369987</v>
      </c>
      <c r="H10" s="7">
        <f t="shared" si="0"/>
        <v>-14.735892028320613</v>
      </c>
      <c r="I10" s="7">
        <f t="shared" si="1"/>
        <v>14.735892028320613</v>
      </c>
      <c r="J10" s="3" t="s">
        <v>10</v>
      </c>
      <c r="K10" s="7">
        <f>kg!$J$4</f>
        <v>513170.2</v>
      </c>
      <c r="L10" s="7">
        <f>'Single Exponen'!$J$39</f>
        <v>505348.69280466822</v>
      </c>
      <c r="M10" s="7">
        <f>'Double Exponen'!$J$39</f>
        <v>440125.75678970572</v>
      </c>
      <c r="N10" s="7">
        <f>'Konstanta a'!$J$39</f>
        <v>570571.62881963071</v>
      </c>
      <c r="O10" s="7">
        <f>'Konstanta b'!$J$39</f>
        <v>152186.85070157915</v>
      </c>
      <c r="P10" s="7">
        <f>Peramalan!$J$39</f>
        <v>667830.99418135977</v>
      </c>
      <c r="Q10" s="7">
        <f t="shared" si="2"/>
        <v>-30.138303857347864</v>
      </c>
      <c r="R10" s="7">
        <f t="shared" si="3"/>
        <v>30.138303857347864</v>
      </c>
      <c r="S10" s="3" t="s">
        <v>10</v>
      </c>
      <c r="T10" s="7">
        <f>kg!$J$7</f>
        <v>28522.799999999999</v>
      </c>
      <c r="U10" s="7">
        <f>'Single Exponen'!$J$42</f>
        <v>30570.304386419401</v>
      </c>
      <c r="V10" s="7">
        <f>'Double Exponen'!$J$42</f>
        <v>16216.427360407803</v>
      </c>
      <c r="W10" s="7">
        <f>'Konstanta a'!$J$42</f>
        <v>44924.181412430997</v>
      </c>
      <c r="X10" s="7">
        <f>'Konstanta b'!$J$42</f>
        <v>33492.379727360392</v>
      </c>
      <c r="Y10" s="7">
        <f>Peramalan!$J$42</f>
        <v>104435.35624174</v>
      </c>
      <c r="Z10" s="7">
        <f t="shared" si="4"/>
        <v>-266.14692891911028</v>
      </c>
      <c r="AA10" s="7">
        <f t="shared" si="5"/>
        <v>266.14692891911028</v>
      </c>
    </row>
    <row r="11" spans="1:27" x14ac:dyDescent="0.3">
      <c r="A11" s="3" t="s">
        <v>11</v>
      </c>
      <c r="B11" s="7">
        <f>kg!$K$3</f>
        <v>8406.34</v>
      </c>
      <c r="C11" s="7">
        <f>'Single Exponen'!$K$38</f>
        <v>9283.5085299203201</v>
      </c>
      <c r="D11" s="7">
        <f>'Double Exponen'!$K$38</f>
        <v>11925.476835755966</v>
      </c>
      <c r="E11" s="7">
        <f>'Konstanta a'!$K$38</f>
        <v>6641.5402240846743</v>
      </c>
      <c r="F11" s="7">
        <f>'Konstanta b'!$K$38</f>
        <v>-6164.5927136165064</v>
      </c>
      <c r="G11" s="7">
        <f>Peramalan!$K$38</f>
        <v>8367.5891997233884</v>
      </c>
      <c r="H11" s="7">
        <f t="shared" si="0"/>
        <v>0.46097112746583768</v>
      </c>
      <c r="I11" s="7">
        <f t="shared" si="1"/>
        <v>0.46097112746583768</v>
      </c>
      <c r="J11" s="3" t="s">
        <v>11</v>
      </c>
      <c r="K11" s="7">
        <f>kg!$K$4</f>
        <v>525723.46</v>
      </c>
      <c r="L11" s="7">
        <f>'Single Exponen'!$K$39</f>
        <v>519611.02984140045</v>
      </c>
      <c r="M11" s="7">
        <f>'Double Exponen'!$K$39</f>
        <v>448074.28409487521</v>
      </c>
      <c r="N11" s="7">
        <f>'Konstanta a'!$K$39</f>
        <v>591147.77558792569</v>
      </c>
      <c r="O11" s="7">
        <f>'Konstanta b'!$K$39</f>
        <v>166919.07340855888</v>
      </c>
      <c r="P11" s="7">
        <f>Peramalan!$K$39</f>
        <v>722758.47952120984</v>
      </c>
      <c r="Q11" s="7">
        <f t="shared" si="2"/>
        <v>-37.478833362545757</v>
      </c>
      <c r="R11" s="7">
        <f t="shared" si="3"/>
        <v>37.478833362545757</v>
      </c>
      <c r="S11" s="3" t="s">
        <v>11</v>
      </c>
      <c r="T11" s="7">
        <f>kg!$K$7</f>
        <v>51078.26</v>
      </c>
      <c r="U11" s="7">
        <f>'Single Exponen'!$K$42</f>
        <v>44925.873315925819</v>
      </c>
      <c r="V11" s="7">
        <f>'Double Exponen'!$K$42</f>
        <v>19087.371955959607</v>
      </c>
      <c r="W11" s="7">
        <f>'Konstanta a'!$K$42</f>
        <v>70764.374675892032</v>
      </c>
      <c r="X11" s="7">
        <f>'Konstanta b'!$K$42</f>
        <v>60289.836506587824</v>
      </c>
      <c r="Y11" s="7">
        <f>Peramalan!$K$42</f>
        <v>78416.561139791389</v>
      </c>
      <c r="Z11" s="7">
        <f t="shared" si="4"/>
        <v>-53.522381419788744</v>
      </c>
      <c r="AA11" s="7">
        <f t="shared" si="5"/>
        <v>53.522381419788744</v>
      </c>
    </row>
    <row r="12" spans="1:27" x14ac:dyDescent="0.3">
      <c r="A12" s="3" t="s">
        <v>12</v>
      </c>
      <c r="B12" s="7">
        <f>kg!$L$3</f>
        <v>18149.95</v>
      </c>
      <c r="C12" s="7">
        <f>'Single Exponen'!$L$38</f>
        <v>15490.017558976097</v>
      </c>
      <c r="D12" s="7">
        <f>'Double Exponen'!$L$38</f>
        <v>12281.93090807798</v>
      </c>
      <c r="E12" s="7">
        <f>'Konstanta a'!$L$38</f>
        <v>18698.104209874211</v>
      </c>
      <c r="F12" s="7">
        <f>'Konstanta b'!$L$38</f>
        <v>7485.5355187622699</v>
      </c>
      <c r="G12" s="7">
        <f>Peramalan!$L$38</f>
        <v>476.94751046816782</v>
      </c>
      <c r="H12" s="7">
        <f t="shared" si="0"/>
        <v>97.372182785802906</v>
      </c>
      <c r="I12" s="7">
        <f t="shared" si="1"/>
        <v>97.372182785802906</v>
      </c>
      <c r="J12" s="3" t="s">
        <v>12</v>
      </c>
      <c r="K12" s="7">
        <f>kg!$L$4</f>
        <v>480711.96</v>
      </c>
      <c r="L12" s="7">
        <f>'Single Exponen'!$L$39</f>
        <v>492381.68095242011</v>
      </c>
      <c r="M12" s="7">
        <f>'Double Exponen'!$L$39</f>
        <v>452505.02378062974</v>
      </c>
      <c r="N12" s="7">
        <f>'Konstanta a'!$L$39</f>
        <v>532258.33812421048</v>
      </c>
      <c r="O12" s="7">
        <f>'Konstanta b'!$L$39</f>
        <v>93045.533400844186</v>
      </c>
      <c r="P12" s="7">
        <f>Peramalan!$L$39</f>
        <v>758066.84899648454</v>
      </c>
      <c r="Q12" s="7">
        <f t="shared" si="2"/>
        <v>-57.696689925602115</v>
      </c>
      <c r="R12" s="7">
        <f t="shared" si="3"/>
        <v>57.696689925602115</v>
      </c>
      <c r="S12" s="3" t="s">
        <v>12</v>
      </c>
      <c r="T12" s="7">
        <f>kg!$L$7</f>
        <v>50149.88</v>
      </c>
      <c r="U12" s="7">
        <f>'Single Exponen'!$L$42</f>
        <v>48582.677994777747</v>
      </c>
      <c r="V12" s="7">
        <f>'Double Exponen'!$L$42</f>
        <v>22036.902559841423</v>
      </c>
      <c r="W12" s="7">
        <f>'Konstanta a'!$L$42</f>
        <v>75128.453429714078</v>
      </c>
      <c r="X12" s="7">
        <f>'Konstanta b'!$L$42</f>
        <v>61940.142681518082</v>
      </c>
      <c r="Y12" s="7">
        <f>Peramalan!$L$42</f>
        <v>131054.21118247986</v>
      </c>
      <c r="Z12" s="7">
        <f t="shared" si="4"/>
        <v>-161.32507432217159</v>
      </c>
      <c r="AA12" s="7">
        <f t="shared" si="5"/>
        <v>161.32507432217159</v>
      </c>
    </row>
    <row r="13" spans="1:27" x14ac:dyDescent="0.3">
      <c r="A13" s="3" t="s">
        <v>13</v>
      </c>
      <c r="B13" s="7">
        <f>kg!$M$3</f>
        <v>11905.39</v>
      </c>
      <c r="C13" s="7">
        <f>'Single Exponen'!$M$38</f>
        <v>12980.778267692829</v>
      </c>
      <c r="D13" s="7">
        <f>'Double Exponen'!$M$38</f>
        <v>12351.815644039467</v>
      </c>
      <c r="E13" s="7">
        <f>'Konstanta a'!$M$38</f>
        <v>13609.740891346191</v>
      </c>
      <c r="F13" s="7">
        <f>'Konstanta b'!$M$38</f>
        <v>1467.5794551911783</v>
      </c>
      <c r="G13" s="7">
        <f>Peramalan!$M$38</f>
        <v>26183.639728636481</v>
      </c>
      <c r="H13" s="7">
        <f t="shared" si="0"/>
        <v>-119.93097016256067</v>
      </c>
      <c r="I13" s="7">
        <f t="shared" si="1"/>
        <v>119.93097016256067</v>
      </c>
      <c r="J13" s="3" t="s">
        <v>13</v>
      </c>
      <c r="K13" s="7">
        <f>kg!$M$4</f>
        <v>428532.64</v>
      </c>
      <c r="L13" s="7">
        <f>'Single Exponen'!$M$39</f>
        <v>447687.35228572605</v>
      </c>
      <c r="M13" s="7">
        <f>'Double Exponen'!$M$39</f>
        <v>452023.25663113943</v>
      </c>
      <c r="N13" s="7">
        <f>'Konstanta a'!$M$39</f>
        <v>443351.44794031268</v>
      </c>
      <c r="O13" s="7">
        <f>'Konstanta b'!$M$39</f>
        <v>-10117.110139297884</v>
      </c>
      <c r="P13" s="7">
        <f>Peramalan!$M$39</f>
        <v>625303.87152505468</v>
      </c>
      <c r="Q13" s="7">
        <f t="shared" si="2"/>
        <v>-45.91744319057112</v>
      </c>
      <c r="R13" s="7">
        <f t="shared" si="3"/>
        <v>45.91744319057112</v>
      </c>
      <c r="S13" s="3" t="s">
        <v>13</v>
      </c>
      <c r="T13" s="7">
        <f>kg!$M$7</f>
        <v>42897.42</v>
      </c>
      <c r="U13" s="7">
        <f>'Single Exponen'!$M$42</f>
        <v>44602.997398433319</v>
      </c>
      <c r="V13" s="7">
        <f>'Double Exponen'!$M$42</f>
        <v>24293.512043700612</v>
      </c>
      <c r="W13" s="7">
        <f>'Konstanta a'!$M$42</f>
        <v>64912.482753166027</v>
      </c>
      <c r="X13" s="7">
        <f>'Konstanta b'!$M$42</f>
        <v>47388.799161042982</v>
      </c>
      <c r="Y13" s="7">
        <f>Peramalan!$M$42</f>
        <v>137068.59611123215</v>
      </c>
      <c r="Z13" s="7">
        <f t="shared" si="4"/>
        <v>-219.52643331750988</v>
      </c>
      <c r="AA13" s="7">
        <f t="shared" si="5"/>
        <v>219.52643331750988</v>
      </c>
    </row>
    <row r="14" spans="1:27" x14ac:dyDescent="0.3">
      <c r="H14" s="6">
        <f>(SUM(H3:H13)/12)</f>
        <v>-20.962245634310879</v>
      </c>
      <c r="I14" s="6">
        <f>(SUM(I3:I13)/12)</f>
        <v>89.711559308109017</v>
      </c>
      <c r="Q14" s="6">
        <f>(SUM(Q3:Q13)/12)</f>
        <v>-1.725329936262515</v>
      </c>
      <c r="R14" s="6">
        <f>(SUM(R3:R13)/12)</f>
        <v>57.880048310964263</v>
      </c>
      <c r="Z14" s="6">
        <f>(SUM(Z3:Z13)/12)</f>
        <v>-164.69184285848067</v>
      </c>
      <c r="AA14" s="6">
        <f>(SUM(AA3:AA13)/12)</f>
        <v>180.68270920534124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Exponen'!$B$40</f>
        <v>23458.3</v>
      </c>
      <c r="M16" s="7">
        <f>'Double Exponen'!$B$40</f>
        <v>23458.3</v>
      </c>
      <c r="N16" s="7">
        <f>'Konstanta a'!$B$40</f>
        <v>23458.3</v>
      </c>
      <c r="O16" s="7">
        <f>'Konstanta b'!$B$40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Exponen'!$C$40</f>
        <v>36589.109999999993</v>
      </c>
      <c r="M17" s="7">
        <f>'Double Exponen'!$C$40</f>
        <v>24771.381000000001</v>
      </c>
      <c r="N17" s="7">
        <f>'Konstanta a'!$C$40</f>
        <v>48406.838999999985</v>
      </c>
      <c r="O17" s="7">
        <f>'Konstanta b'!$C$40</f>
        <v>27574.700999999979</v>
      </c>
      <c r="P17" s="7">
        <f>Peramalan!$C$40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Exponen'!$D$40</f>
        <v>31103.062999999998</v>
      </c>
      <c r="M18" s="7">
        <f>'Double Exponen'!$D$40</f>
        <v>25404.549199999998</v>
      </c>
      <c r="N18" s="7">
        <f>'Konstanta a'!$D$40</f>
        <v>36801.576799999995</v>
      </c>
      <c r="O18" s="7">
        <f>'Konstanta b'!$D$40</f>
        <v>13296.5322</v>
      </c>
      <c r="P18" s="7">
        <f>Peramalan!$D$40</f>
        <v>75981.539999999964</v>
      </c>
      <c r="Q18" s="7">
        <f t="shared" ref="Q18:Q27" si="6">((K18-P18)/K18)*100</f>
        <v>-164.26615284555095</v>
      </c>
      <c r="R18" s="7">
        <f t="shared" ref="R18:R27" si="7">ABS((K18-P18)/K18)*100</f>
        <v>164.26615284555095</v>
      </c>
    </row>
    <row r="19" spans="10:18" x14ac:dyDescent="0.3">
      <c r="J19" s="3" t="s">
        <v>5</v>
      </c>
      <c r="K19" s="7">
        <f>kg!$E$5</f>
        <v>39376.9</v>
      </c>
      <c r="L19" s="7">
        <f>'Single Exponen'!$E$40</f>
        <v>36894.748899999999</v>
      </c>
      <c r="M19" s="7">
        <f>'Double Exponen'!$E$40</f>
        <v>26553.569169999999</v>
      </c>
      <c r="N19" s="7">
        <f>'Konstanta a'!$E$40</f>
        <v>47235.928629999995</v>
      </c>
      <c r="O19" s="7">
        <f>'Konstanta b'!$E$40</f>
        <v>24129.419369999996</v>
      </c>
      <c r="P19" s="7">
        <f>Peramalan!$E$40</f>
        <v>50098.108999999997</v>
      </c>
      <c r="Q19" s="7">
        <f t="shared" si="6"/>
        <v>-27.227153483387458</v>
      </c>
      <c r="R19" s="7">
        <f t="shared" si="7"/>
        <v>27.227153483387458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Exponen'!$F$40</f>
        <v>27771.544670000003</v>
      </c>
      <c r="M20" s="7">
        <f>'Double Exponen'!$F$40</f>
        <v>26675.366719999998</v>
      </c>
      <c r="N20" s="7">
        <f>'Konstanta a'!$F$40</f>
        <v>28867.722620000008</v>
      </c>
      <c r="O20" s="7">
        <f>'Konstanta b'!$F$40</f>
        <v>2557.7485500000107</v>
      </c>
      <c r="P20" s="7">
        <f>Peramalan!$F$40</f>
        <v>71365.347999999998</v>
      </c>
      <c r="Q20" s="7">
        <f t="shared" si="6"/>
        <v>-199.08031313910217</v>
      </c>
      <c r="R20" s="7">
        <f t="shared" si="7"/>
        <v>199.08031313910217</v>
      </c>
    </row>
    <row r="21" spans="10:18" x14ac:dyDescent="0.3">
      <c r="J21" s="3" t="s">
        <v>7</v>
      </c>
      <c r="K21" s="7">
        <f>kg!$G$5</f>
        <v>57216.9</v>
      </c>
      <c r="L21" s="7">
        <f>'Single Exponen'!$G$40</f>
        <v>48383.293401000003</v>
      </c>
      <c r="M21" s="7">
        <f>'Double Exponen'!$G$40</f>
        <v>28846.159388100001</v>
      </c>
      <c r="N21" s="7">
        <f>'Konstanta a'!$G$40</f>
        <v>67920.427413900004</v>
      </c>
      <c r="O21" s="7">
        <f>'Konstanta b'!$G$40</f>
        <v>45586.646030099997</v>
      </c>
      <c r="P21" s="7">
        <f>Peramalan!$G$40</f>
        <v>31425.471170000019</v>
      </c>
      <c r="Q21" s="7">
        <f t="shared" si="6"/>
        <v>45.076592457822748</v>
      </c>
      <c r="R21" s="7">
        <f t="shared" si="7"/>
        <v>45.076592457822748</v>
      </c>
    </row>
    <row r="22" spans="10:18" x14ac:dyDescent="0.3">
      <c r="J22" s="3" t="s">
        <v>8</v>
      </c>
      <c r="K22" s="7">
        <f>kg!$H$5</f>
        <v>83736.7</v>
      </c>
      <c r="L22" s="7">
        <f>'Single Exponen'!$H$40</f>
        <v>73130.678020299994</v>
      </c>
      <c r="M22" s="7">
        <f>'Double Exponen'!$H$40</f>
        <v>33274.611251320006</v>
      </c>
      <c r="N22" s="7">
        <f>'Konstanta a'!$H$40</f>
        <v>112986.74478927998</v>
      </c>
      <c r="O22" s="7">
        <f>'Konstanta b'!$H$40</f>
        <v>92997.489127619963</v>
      </c>
      <c r="P22" s="7">
        <f>Peramalan!$H$40</f>
        <v>113507.07344400001</v>
      </c>
      <c r="Q22" s="7">
        <f t="shared" si="6"/>
        <v>-35.552360487098269</v>
      </c>
      <c r="R22" s="7">
        <f t="shared" si="7"/>
        <v>35.552360487098269</v>
      </c>
    </row>
    <row r="23" spans="10:18" x14ac:dyDescent="0.3">
      <c r="J23" s="3" t="s">
        <v>9</v>
      </c>
      <c r="K23" s="7">
        <f>kg!$I$5</f>
        <v>54053.2</v>
      </c>
      <c r="L23" s="7">
        <f>'Single Exponen'!$I$40</f>
        <v>59776.443406089995</v>
      </c>
      <c r="M23" s="7">
        <f>'Double Exponen'!$I$40</f>
        <v>35924.794466797</v>
      </c>
      <c r="N23" s="7">
        <f>'Konstanta a'!$I$40</f>
        <v>83628.092345382989</v>
      </c>
      <c r="O23" s="7">
        <f>'Konstanta b'!$I$40</f>
        <v>55653.847525016979</v>
      </c>
      <c r="P23" s="7">
        <f>Peramalan!$I$40</f>
        <v>205984.23391689995</v>
      </c>
      <c r="Q23" s="7">
        <f t="shared" si="6"/>
        <v>-281.07685376055429</v>
      </c>
      <c r="R23" s="7">
        <f t="shared" si="7"/>
        <v>281.07685376055429</v>
      </c>
    </row>
    <row r="24" spans="10:18" x14ac:dyDescent="0.3">
      <c r="J24" s="3" t="s">
        <v>10</v>
      </c>
      <c r="K24" s="7">
        <f>kg!$J$5</f>
        <v>11264.5</v>
      </c>
      <c r="L24" s="7">
        <f>'Single Exponen'!$J$40</f>
        <v>25818.083021826998</v>
      </c>
      <c r="M24" s="7">
        <f>'Double Exponen'!$J$40</f>
        <v>34914.123322300002</v>
      </c>
      <c r="N24" s="7">
        <f>'Konstanta a'!$J$40</f>
        <v>16722.042721353995</v>
      </c>
      <c r="O24" s="7">
        <f>'Konstanta b'!$J$40</f>
        <v>-21224.094034437006</v>
      </c>
      <c r="P24" s="7">
        <f>Peramalan!$J$40</f>
        <v>139281.93987039998</v>
      </c>
      <c r="Q24" s="7">
        <f t="shared" si="6"/>
        <v>-1136.468017847219</v>
      </c>
      <c r="R24" s="7">
        <f t="shared" si="7"/>
        <v>1136.468017847219</v>
      </c>
    </row>
    <row r="25" spans="10:18" x14ac:dyDescent="0.3">
      <c r="J25" s="3" t="s">
        <v>11</v>
      </c>
      <c r="K25" s="7">
        <f>kg!$K$5</f>
        <v>24215</v>
      </c>
      <c r="L25" s="7">
        <f>'Single Exponen'!$K$40</f>
        <v>24695.924906548102</v>
      </c>
      <c r="M25" s="7">
        <f>'Double Exponen'!$K$40</f>
        <v>33892.303480724811</v>
      </c>
      <c r="N25" s="7">
        <f>'Konstanta a'!$K$40</f>
        <v>15499.546332371392</v>
      </c>
      <c r="O25" s="7">
        <f>'Konstanta b'!$K$40</f>
        <v>-21458.216673078987</v>
      </c>
      <c r="P25" s="7">
        <f>Peramalan!$K$40</f>
        <v>-4502.0513130830113</v>
      </c>
      <c r="Q25" s="7">
        <f t="shared" si="6"/>
        <v>118.591993859521</v>
      </c>
      <c r="R25" s="7">
        <f t="shared" si="7"/>
        <v>118.591993859521</v>
      </c>
    </row>
    <row r="26" spans="10:18" x14ac:dyDescent="0.3">
      <c r="J26" s="3" t="s">
        <v>12</v>
      </c>
      <c r="K26" s="7">
        <f>kg!$L$5</f>
        <v>26860.6</v>
      </c>
      <c r="L26" s="7">
        <f>'Single Exponen'!$L$40</f>
        <v>26211.197471964428</v>
      </c>
      <c r="M26" s="7">
        <f>'Double Exponen'!$L$40</f>
        <v>33124.192879848779</v>
      </c>
      <c r="N26" s="7">
        <f>'Konstanta a'!$L$40</f>
        <v>19298.202064080077</v>
      </c>
      <c r="O26" s="7">
        <f>'Konstanta b'!$L$40</f>
        <v>-16130.322618396818</v>
      </c>
      <c r="P26" s="7">
        <f>Peramalan!$L$40</f>
        <v>-5958.6703407075947</v>
      </c>
      <c r="Q26" s="7">
        <f t="shared" si="6"/>
        <v>122.18368294344725</v>
      </c>
      <c r="R26" s="7">
        <f t="shared" si="7"/>
        <v>122.18368294344725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Exponen'!$M$40</f>
        <v>31560.249241589325</v>
      </c>
      <c r="M27" s="7">
        <f>'Double Exponen'!$M$40</f>
        <v>32967.798516022835</v>
      </c>
      <c r="N27" s="7">
        <f>'Konstanta a'!$M$40</f>
        <v>30152.699967155815</v>
      </c>
      <c r="O27" s="7">
        <f>'Konstanta b'!$M$40</f>
        <v>-3284.2816403448555</v>
      </c>
      <c r="P27" s="7">
        <f>Peramalan!$M$40</f>
        <v>3167.8794456832584</v>
      </c>
      <c r="Q27" s="7">
        <f t="shared" si="6"/>
        <v>90.642166073361182</v>
      </c>
      <c r="R27" s="7">
        <f t="shared" si="7"/>
        <v>90.642166073361182</v>
      </c>
    </row>
    <row r="28" spans="10:18" x14ac:dyDescent="0.3">
      <c r="Q28" s="6">
        <f>(SUM(Q17:Q27)/12)</f>
        <v>-118.56191224416277</v>
      </c>
      <c r="R28" s="6">
        <f>(SUM(R17:R27)/12)</f>
        <v>188.71656301632262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Exponen'!$B$41</f>
        <v>4698.6499999999996</v>
      </c>
      <c r="M30" s="7">
        <f>'Double Exponen'!$B$41</f>
        <v>4698.6499999999996</v>
      </c>
      <c r="N30" s="7">
        <f>'Konstanta a'!$B$41</f>
        <v>4698.6499999999996</v>
      </c>
      <c r="O30" s="7">
        <f>'Konstanta b'!$B$41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Exponen'!$C$41</f>
        <v>7461.0950000000003</v>
      </c>
      <c r="M31" s="7">
        <f>'Double Exponen'!$C$41</f>
        <v>4974.8944999999994</v>
      </c>
      <c r="N31" s="7">
        <f>'Konstanta a'!$C$41</f>
        <v>9947.2955000000002</v>
      </c>
      <c r="O31" s="7">
        <f>'Konstanta b'!$C$41</f>
        <v>5801.134500000001</v>
      </c>
      <c r="P31" s="7">
        <f>Peramalan!$C$41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Exponen'!$D$41</f>
        <v>7830.9435000000003</v>
      </c>
      <c r="M32" s="7">
        <f>'Double Exponen'!$D$41</f>
        <v>5260.4993999999997</v>
      </c>
      <c r="N32" s="7">
        <f>'Konstanta a'!$D$41</f>
        <v>10401.387600000002</v>
      </c>
      <c r="O32" s="7">
        <f>'Konstanta b'!$D$41</f>
        <v>5997.7029000000002</v>
      </c>
      <c r="P32" s="7">
        <f>Peramalan!$D$41</f>
        <v>15748.43</v>
      </c>
      <c r="Q32" s="7">
        <f t="shared" ref="Q32:Q41" si="8">((K32-P32)/K32)*100</f>
        <v>-97.115320829343716</v>
      </c>
      <c r="R32" s="7">
        <f t="shared" ref="R32:R41" si="9">ABS((K32-P32)/K32)*100</f>
        <v>97.115320829343716</v>
      </c>
    </row>
    <row r="33" spans="10:18" x14ac:dyDescent="0.3">
      <c r="J33" s="3" t="s">
        <v>5</v>
      </c>
      <c r="K33" s="7">
        <f>kg!$E$6</f>
        <v>6543.56</v>
      </c>
      <c r="L33" s="7">
        <f>'Single Exponen'!$E$41</f>
        <v>6929.7750500000002</v>
      </c>
      <c r="M33" s="7">
        <f>'Double Exponen'!$E$41</f>
        <v>5427.4269649999997</v>
      </c>
      <c r="N33" s="7">
        <f>'Konstanta a'!$E$41</f>
        <v>8432.1231350000016</v>
      </c>
      <c r="O33" s="7">
        <f>'Konstanta b'!$E$41</f>
        <v>3505.478865000001</v>
      </c>
      <c r="P33" s="7">
        <f>Peramalan!$E$41</f>
        <v>16399.090500000002</v>
      </c>
      <c r="Q33" s="7">
        <f t="shared" si="8"/>
        <v>-150.6141993043542</v>
      </c>
      <c r="R33" s="7">
        <f t="shared" si="9"/>
        <v>150.6141993043542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Exponen'!$F$41</f>
        <v>34067.252515</v>
      </c>
      <c r="M34" s="7">
        <f>'Double Exponen'!$F$41</f>
        <v>8291.4095199999992</v>
      </c>
      <c r="N34" s="7">
        <f>'Konstanta a'!$F$41</f>
        <v>59843.095509999999</v>
      </c>
      <c r="O34" s="7">
        <f>'Konstanta b'!$F$41</f>
        <v>60143.633654999991</v>
      </c>
      <c r="P34" s="7">
        <f>Peramalan!$F$41</f>
        <v>11937.602000000003</v>
      </c>
      <c r="Q34" s="7">
        <f t="shared" si="8"/>
        <v>73.876960715661198</v>
      </c>
      <c r="R34" s="7">
        <f t="shared" si="9"/>
        <v>73.876960715661198</v>
      </c>
    </row>
    <row r="35" spans="10:18" x14ac:dyDescent="0.3">
      <c r="J35" s="3" t="s">
        <v>7</v>
      </c>
      <c r="K35" s="7">
        <f>kg!$G$6</f>
        <v>6943.02</v>
      </c>
      <c r="L35" s="7">
        <f>'Single Exponen'!$G$41</f>
        <v>15080.289754500001</v>
      </c>
      <c r="M35" s="7">
        <f>'Double Exponen'!$G$41</f>
        <v>8970.2975434500004</v>
      </c>
      <c r="N35" s="7">
        <f>'Konstanta a'!$G$41</f>
        <v>21190.281965550002</v>
      </c>
      <c r="O35" s="7">
        <f>'Konstanta b'!$G$41</f>
        <v>14256.64849245</v>
      </c>
      <c r="P35" s="7">
        <f>Peramalan!$G$41</f>
        <v>119986.729165</v>
      </c>
      <c r="Q35" s="7">
        <f t="shared" si="8"/>
        <v>-1628.1633808486795</v>
      </c>
      <c r="R35" s="7">
        <f t="shared" si="9"/>
        <v>1628.1633808486795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Exponen'!$H$41</f>
        <v>10563.48392635</v>
      </c>
      <c r="M36" s="7">
        <f>'Double Exponen'!$H$41</f>
        <v>9129.6161817400007</v>
      </c>
      <c r="N36" s="7">
        <f>'Konstanta a'!$H$41</f>
        <v>11997.351670959999</v>
      </c>
      <c r="O36" s="7">
        <f>'Konstanta b'!$H$41</f>
        <v>3345.6914040899974</v>
      </c>
      <c r="P36" s="7">
        <f>Peramalan!$H$41</f>
        <v>35446.930458000003</v>
      </c>
      <c r="Q36" s="7">
        <f t="shared" si="8"/>
        <v>-310.84981365854907</v>
      </c>
      <c r="R36" s="7">
        <f t="shared" si="9"/>
        <v>310.84981365854907</v>
      </c>
    </row>
    <row r="37" spans="10:18" x14ac:dyDescent="0.3">
      <c r="J37" s="3" t="s">
        <v>9</v>
      </c>
      <c r="K37" s="7">
        <f>kg!$I$6</f>
        <v>17194</v>
      </c>
      <c r="L37" s="7">
        <f>'Single Exponen'!$I$41</f>
        <v>15204.845177904999</v>
      </c>
      <c r="M37" s="7">
        <f>'Double Exponen'!$I$41</f>
        <v>9737.1390813565013</v>
      </c>
      <c r="N37" s="7">
        <f>'Konstanta a'!$I$41</f>
        <v>20672.551274453497</v>
      </c>
      <c r="O37" s="7">
        <f>'Konstanta b'!$I$41</f>
        <v>12757.980891946494</v>
      </c>
      <c r="P37" s="7">
        <f>Peramalan!$I$41</f>
        <v>15343.043075049996</v>
      </c>
      <c r="Q37" s="7">
        <f t="shared" si="8"/>
        <v>10.765132749505662</v>
      </c>
      <c r="R37" s="7">
        <f t="shared" si="9"/>
        <v>10.765132749505662</v>
      </c>
    </row>
    <row r="38" spans="10:18" x14ac:dyDescent="0.3">
      <c r="J38" s="3" t="s">
        <v>10</v>
      </c>
      <c r="K38" s="7">
        <f>kg!$J$6</f>
        <v>17242</v>
      </c>
      <c r="L38" s="7">
        <f>'Single Exponen'!$J$41</f>
        <v>16630.8535533715</v>
      </c>
      <c r="M38" s="7">
        <f>'Double Exponen'!$J$41</f>
        <v>10426.510528558003</v>
      </c>
      <c r="N38" s="7">
        <f>'Konstanta a'!$J$41</f>
        <v>22835.196578184998</v>
      </c>
      <c r="O38" s="7">
        <f>'Konstanta b'!$J$41</f>
        <v>14476.800391231493</v>
      </c>
      <c r="P38" s="7">
        <f>Peramalan!$J$41</f>
        <v>33430.532166399993</v>
      </c>
      <c r="Q38" s="7">
        <f t="shared" si="8"/>
        <v>-93.89010652128519</v>
      </c>
      <c r="R38" s="7">
        <f t="shared" si="9"/>
        <v>93.89010652128519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Exponen'!$K$41</f>
        <v>29606.296066011448</v>
      </c>
      <c r="M39" s="7">
        <f>'Double Exponen'!$K$41</f>
        <v>12344.489082303346</v>
      </c>
      <c r="N39" s="7">
        <f>'Konstanta a'!$K$41</f>
        <v>46868.103049719546</v>
      </c>
      <c r="O39" s="7">
        <f>'Konstanta b'!$K$41</f>
        <v>40277.549628652232</v>
      </c>
      <c r="P39" s="7">
        <f>Peramalan!$K$41</f>
        <v>37311.99696941649</v>
      </c>
      <c r="Q39" s="7">
        <f t="shared" si="8"/>
        <v>-6.0988562336964369</v>
      </c>
      <c r="R39" s="7">
        <f t="shared" si="9"/>
        <v>6.0988562336964369</v>
      </c>
    </row>
    <row r="40" spans="10:18" x14ac:dyDescent="0.3">
      <c r="J40" s="3" t="s">
        <v>12</v>
      </c>
      <c r="K40" s="7">
        <f>kg!$L$6</f>
        <v>6543.4</v>
      </c>
      <c r="L40" s="7">
        <f>'Single Exponen'!$L$41</f>
        <v>13462.268819803436</v>
      </c>
      <c r="M40" s="7">
        <f>'Double Exponen'!$L$41</f>
        <v>12456.267056053355</v>
      </c>
      <c r="N40" s="7">
        <f>'Konstanta a'!$L$41</f>
        <v>14468.270583553516</v>
      </c>
      <c r="O40" s="7">
        <f>'Konstanta b'!$L$41</f>
        <v>2347.3374487501874</v>
      </c>
      <c r="P40" s="7">
        <f>Peramalan!$L$41</f>
        <v>87145.652678371785</v>
      </c>
      <c r="Q40" s="7">
        <f t="shared" si="8"/>
        <v>-1231.8099562669529</v>
      </c>
      <c r="R40" s="7">
        <f t="shared" si="9"/>
        <v>1231.8099562669529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Exponen'!$M$41</f>
        <v>9919.7586459410322</v>
      </c>
      <c r="M41" s="7">
        <f>'Double Exponen'!$M$41</f>
        <v>12202.616215042122</v>
      </c>
      <c r="N41" s="7">
        <f>'Konstanta a'!$M$41</f>
        <v>7636.9010768399421</v>
      </c>
      <c r="O41" s="7">
        <f>'Konstanta b'!$M$41</f>
        <v>-5326.667661235876</v>
      </c>
      <c r="P41" s="7">
        <f>Peramalan!$M$41</f>
        <v>16815.608032303702</v>
      </c>
      <c r="Q41" s="7">
        <f t="shared" si="8"/>
        <v>-100.14911590379502</v>
      </c>
      <c r="R41" s="7">
        <f t="shared" si="9"/>
        <v>100.14911590379502</v>
      </c>
    </row>
    <row r="42" spans="10:18" x14ac:dyDescent="0.3">
      <c r="Q42" s="6">
        <f>(SUM(Q31:Q41)/12)</f>
        <v>-290.69997717367823</v>
      </c>
      <c r="R42" s="6">
        <f>(SUM(R31:R41)/12)</f>
        <v>312.41514775409786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265B5-A5BB-44AA-B59A-86C49760D6AA}">
  <dimension ref="A1:AA42"/>
  <sheetViews>
    <sheetView workbookViewId="0">
      <selection activeCell="T1" sqref="T1:AA1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7" width="9.44140625" style="1" bestFit="1" customWidth="1"/>
    <col min="8" max="8" width="8.109375" style="1" bestFit="1" customWidth="1"/>
    <col min="9" max="9" width="7.44140625" style="1" bestFit="1" customWidth="1"/>
    <col min="10" max="10" width="13.6640625" style="1" bestFit="1" customWidth="1"/>
    <col min="11" max="14" width="9.44140625" style="1" bestFit="1" customWidth="1"/>
    <col min="15" max="16" width="10.109375" style="1" bestFit="1" customWidth="1"/>
    <col min="17" max="17" width="8.109375" style="1" bestFit="1" customWidth="1"/>
    <col min="18" max="18" width="7.44140625" style="1" bestFit="1" customWidth="1"/>
    <col min="19" max="19" width="14.109375" style="1" bestFit="1" customWidth="1"/>
    <col min="20" max="22" width="8.44140625" style="1" bestFit="1" customWidth="1"/>
    <col min="23" max="23" width="9.109375" style="1" bestFit="1" customWidth="1"/>
    <col min="24" max="25" width="10.109375" style="1" bestFit="1" customWidth="1"/>
    <col min="26" max="26" width="7.109375" style="1" bestFit="1" customWidth="1"/>
    <col min="27" max="27" width="6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Exponen'!$B$44</f>
        <v>12588.09</v>
      </c>
      <c r="D2" s="7">
        <f>'Double Exponen'!$B$44</f>
        <v>12588.09</v>
      </c>
      <c r="E2" s="7">
        <f>'Konstanta a'!$B$44</f>
        <v>12588.09</v>
      </c>
      <c r="F2" s="7">
        <f>'Konstanta b'!$B$44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Exponen'!$B$45</f>
        <v>459915.78</v>
      </c>
      <c r="M2" s="7">
        <f>'Double Exponen'!$B$45</f>
        <v>459915.78</v>
      </c>
      <c r="N2" s="7">
        <f>'Konstanta a'!$B$45</f>
        <v>459915.78</v>
      </c>
      <c r="O2" s="7">
        <f>'Konstanta b'!$B$45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Exponen'!$B$48</f>
        <v>1033.08</v>
      </c>
      <c r="V2" s="7">
        <f>'Double Exponen'!$B$48</f>
        <v>1033.08</v>
      </c>
      <c r="W2" s="7">
        <f>'Konstanta a'!$B$48</f>
        <v>1033.08</v>
      </c>
      <c r="X2" s="7">
        <f>'Konstanta b'!$B$48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Exponen'!$C$44</f>
        <v>6349.4180000000006</v>
      </c>
      <c r="D3" s="7">
        <f>'Double Exponen'!$C$44</f>
        <v>11964.2228</v>
      </c>
      <c r="E3" s="7">
        <f>'Konstanta a'!$C$44</f>
        <v>734.6132000000016</v>
      </c>
      <c r="F3" s="7">
        <f>'Konstanta b'!$C$44</f>
        <v>-22459.219199999985</v>
      </c>
      <c r="G3" s="7">
        <f>Peramalan!$C$44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Exponen'!$C$45</f>
        <v>409759.76400000002</v>
      </c>
      <c r="M3" s="7">
        <f>'Double Exponen'!$C$45</f>
        <v>454900.17840000009</v>
      </c>
      <c r="N3" s="7">
        <f>'Konstanta a'!$C$45</f>
        <v>364619.34959999996</v>
      </c>
      <c r="O3" s="7">
        <f>'Konstanta b'!$C$45</f>
        <v>-180561.65760000018</v>
      </c>
      <c r="P3" s="7">
        <f>Peramalan!$C$45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Exponen'!$C$48</f>
        <v>20588.968000000001</v>
      </c>
      <c r="V3" s="7">
        <f>'Double Exponen'!$C$48</f>
        <v>2988.6687999999999</v>
      </c>
      <c r="W3" s="7">
        <f>'Konstanta a'!$C$48</f>
        <v>38189.267200000002</v>
      </c>
      <c r="X3" s="7">
        <f>'Konstanta b'!$C$48</f>
        <v>70401.196799999976</v>
      </c>
      <c r="Y3" s="7">
        <f>Peramalan!$C$48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Exponen'!$D$44</f>
        <v>18090.5556</v>
      </c>
      <c r="D4" s="7">
        <f>'Double Exponen'!$D$44</f>
        <v>12576.856080000001</v>
      </c>
      <c r="E4" s="7">
        <f>'Konstanta a'!$D$44</f>
        <v>23604.255119999998</v>
      </c>
      <c r="F4" s="7">
        <f>'Konstanta b'!$D$44</f>
        <v>22054.798079999982</v>
      </c>
      <c r="G4" s="7">
        <f>Peramalan!$D$44</f>
        <v>-21724.605999999985</v>
      </c>
      <c r="H4" s="7">
        <f t="shared" ref="H4:H13" si="0">((B4-G4)/B4)*100</f>
        <v>203.32336781788496</v>
      </c>
      <c r="I4" s="7">
        <f t="shared" ref="I4:I13" si="1">ABS((B4-G4)/B4)*100</f>
        <v>203.32336781788496</v>
      </c>
      <c r="J4" s="3" t="s">
        <v>4</v>
      </c>
      <c r="K4" s="7">
        <f>kg!$D$4</f>
        <v>389238.98</v>
      </c>
      <c r="L4" s="7">
        <f>'Single Exponen'!$D$45</f>
        <v>393343.13679999998</v>
      </c>
      <c r="M4" s="7">
        <f>'Double Exponen'!$D$45</f>
        <v>448744.47424000001</v>
      </c>
      <c r="N4" s="7">
        <f>'Konstanta a'!$D$45</f>
        <v>337941.79935999995</v>
      </c>
      <c r="O4" s="7">
        <f>'Konstanta b'!$D$45</f>
        <v>-221605.34976000004</v>
      </c>
      <c r="P4" s="7">
        <f>Peramalan!$D$45</f>
        <v>184057.69199999978</v>
      </c>
      <c r="Q4" s="7">
        <f t="shared" ref="Q4:Q13" si="2">((K4-P4)/K4)*100</f>
        <v>52.713448175205933</v>
      </c>
      <c r="R4" s="7">
        <f t="shared" ref="R4:R13" si="3">ABS((K4-P4)/K4)*100</f>
        <v>52.713448175205933</v>
      </c>
      <c r="S4" s="3" t="s">
        <v>4</v>
      </c>
      <c r="T4" s="7">
        <f>kg!$D$7</f>
        <v>19497.02</v>
      </c>
      <c r="U4" s="7">
        <f>'Single Exponen'!$D$48</f>
        <v>19715.409599999999</v>
      </c>
      <c r="V4" s="7">
        <f>'Double Exponen'!$D$48</f>
        <v>4661.3428800000002</v>
      </c>
      <c r="W4" s="7">
        <f>'Konstanta a'!$D$48</f>
        <v>34769.476320000002</v>
      </c>
      <c r="X4" s="7">
        <f>'Konstanta b'!$D$48</f>
        <v>60216.266879999966</v>
      </c>
      <c r="Y4" s="7">
        <f>Peramalan!$D$48</f>
        <v>108590.46399999998</v>
      </c>
      <c r="Z4" s="7">
        <f t="shared" ref="Z4:Z13" si="4">((T4-Y4)/T4)*100</f>
        <v>-456.95928916316421</v>
      </c>
      <c r="AA4" s="7">
        <f t="shared" ref="AA4:AA13" si="5">ABS((T4-Y4)/T4)*100</f>
        <v>456.95928916316421</v>
      </c>
    </row>
    <row r="5" spans="1:27" x14ac:dyDescent="0.3">
      <c r="A5" s="3" t="s">
        <v>5</v>
      </c>
      <c r="B5" s="7">
        <f>kg!$E$3</f>
        <v>11100.97</v>
      </c>
      <c r="C5" s="7">
        <f>'Single Exponen'!$E$44</f>
        <v>12498.887119999999</v>
      </c>
      <c r="D5" s="7">
        <f>'Double Exponen'!$E$44</f>
        <v>12569.059184000002</v>
      </c>
      <c r="E5" s="7">
        <f>'Konstanta a'!$E$44</f>
        <v>12428.715055999997</v>
      </c>
      <c r="F5" s="7">
        <f>'Konstanta b'!$E$44</f>
        <v>-280.68825600000844</v>
      </c>
      <c r="G5" s="7">
        <f>Peramalan!$E$44</f>
        <v>45659.05319999998</v>
      </c>
      <c r="H5" s="7">
        <f t="shared" si="0"/>
        <v>-311.30687858808716</v>
      </c>
      <c r="I5" s="7">
        <f t="shared" si="1"/>
        <v>311.30687858808716</v>
      </c>
      <c r="J5" s="3" t="s">
        <v>5</v>
      </c>
      <c r="K5" s="7">
        <f>kg!$E$4</f>
        <v>505904.1</v>
      </c>
      <c r="L5" s="7">
        <f>'Single Exponen'!$E$45</f>
        <v>483391.90736000001</v>
      </c>
      <c r="M5" s="7">
        <f>'Double Exponen'!$E$45</f>
        <v>452209.21755200002</v>
      </c>
      <c r="N5" s="7">
        <f>'Konstanta a'!$E$45</f>
        <v>514574.59716800001</v>
      </c>
      <c r="O5" s="7">
        <f>'Konstanta b'!$E$45</f>
        <v>124730.75923199992</v>
      </c>
      <c r="P5" s="7">
        <f>Peramalan!$E$45</f>
        <v>116336.44959999991</v>
      </c>
      <c r="Q5" s="7">
        <f t="shared" si="2"/>
        <v>77.004248512712209</v>
      </c>
      <c r="R5" s="7">
        <f t="shared" si="3"/>
        <v>77.004248512712209</v>
      </c>
      <c r="S5" s="3" t="s">
        <v>5</v>
      </c>
      <c r="T5" s="7">
        <f>kg!$E$7</f>
        <v>18855.900000000001</v>
      </c>
      <c r="U5" s="7">
        <f>'Single Exponen'!$E$48</f>
        <v>19027.801920000002</v>
      </c>
      <c r="V5" s="7">
        <f>'Double Exponen'!$E$48</f>
        <v>6097.9887840000001</v>
      </c>
      <c r="W5" s="7">
        <f>'Konstanta a'!$E$48</f>
        <v>31957.615056000002</v>
      </c>
      <c r="X5" s="7">
        <f>'Konstanta b'!$E$48</f>
        <v>51719.252543999981</v>
      </c>
      <c r="Y5" s="7">
        <f>Peramalan!$E$48</f>
        <v>94985.743199999968</v>
      </c>
      <c r="Z5" s="7">
        <f t="shared" si="4"/>
        <v>-403.74547595182389</v>
      </c>
      <c r="AA5" s="7">
        <f t="shared" si="5"/>
        <v>403.74547595182389</v>
      </c>
    </row>
    <row r="6" spans="1:27" x14ac:dyDescent="0.3">
      <c r="A6" s="3" t="s">
        <v>6</v>
      </c>
      <c r="B6" s="7">
        <f>kg!$F$3</f>
        <v>9095.66</v>
      </c>
      <c r="C6" s="7">
        <f>'Single Exponen'!$F$44</f>
        <v>9776.3054240000001</v>
      </c>
      <c r="D6" s="7">
        <f>'Double Exponen'!$F$44</f>
        <v>12289.783808000002</v>
      </c>
      <c r="E6" s="7">
        <f>'Konstanta a'!$F$44</f>
        <v>7262.8270399999983</v>
      </c>
      <c r="F6" s="7">
        <f>'Konstanta b'!$F$44</f>
        <v>-10053.913536000004</v>
      </c>
      <c r="G6" s="7">
        <f>Peramalan!$F$44</f>
        <v>12148.026799999989</v>
      </c>
      <c r="H6" s="7">
        <f t="shared" si="0"/>
        <v>-33.558497129400052</v>
      </c>
      <c r="I6" s="7">
        <f t="shared" si="1"/>
        <v>33.558497129400052</v>
      </c>
      <c r="J6" s="3" t="s">
        <v>6</v>
      </c>
      <c r="K6" s="7">
        <f>kg!$F$4</f>
        <v>201079.58</v>
      </c>
      <c r="L6" s="7">
        <f>'Single Exponen'!$F$45</f>
        <v>257542.04547200003</v>
      </c>
      <c r="M6" s="7">
        <f>'Double Exponen'!$F$45</f>
        <v>432742.500344</v>
      </c>
      <c r="N6" s="7">
        <f>'Konstanta a'!$F$45</f>
        <v>82341.590600000054</v>
      </c>
      <c r="O6" s="7">
        <f>'Konstanta b'!$F$45</f>
        <v>-700801.81948799954</v>
      </c>
      <c r="P6" s="7">
        <f>Peramalan!$F$45</f>
        <v>639305.35639999993</v>
      </c>
      <c r="Q6" s="7">
        <f t="shared" si="2"/>
        <v>-217.93648882696095</v>
      </c>
      <c r="R6" s="7">
        <f t="shared" si="3"/>
        <v>217.93648882696095</v>
      </c>
      <c r="S6" s="3" t="s">
        <v>6</v>
      </c>
      <c r="T6" s="7">
        <f>kg!$F$7</f>
        <v>26851.599999999999</v>
      </c>
      <c r="U6" s="7">
        <f>'Single Exponen'!$F$48</f>
        <v>25286.840383999999</v>
      </c>
      <c r="V6" s="7">
        <f>'Double Exponen'!$F$48</f>
        <v>8016.8739440000008</v>
      </c>
      <c r="W6" s="7">
        <f>'Konstanta a'!$F$48</f>
        <v>42556.806823999999</v>
      </c>
      <c r="X6" s="7">
        <f>'Konstanta b'!$F$48</f>
        <v>69079.865759999957</v>
      </c>
      <c r="Y6" s="7">
        <f>Peramalan!$F$48</f>
        <v>83676.867599999983</v>
      </c>
      <c r="Z6" s="7">
        <f t="shared" si="4"/>
        <v>-211.62711942677527</v>
      </c>
      <c r="AA6" s="7">
        <f t="shared" si="5"/>
        <v>211.62711942677527</v>
      </c>
    </row>
    <row r="7" spans="1:27" x14ac:dyDescent="0.3">
      <c r="A7" s="3" t="s">
        <v>7</v>
      </c>
      <c r="B7" s="7">
        <f>kg!$G$3</f>
        <v>8185.36</v>
      </c>
      <c r="C7" s="7">
        <f>'Single Exponen'!$G$44</f>
        <v>8503.5490848000009</v>
      </c>
      <c r="D7" s="7">
        <f>'Double Exponen'!$G$44</f>
        <v>11911.160335680004</v>
      </c>
      <c r="E7" s="7">
        <f>'Konstanta a'!$G$44</f>
        <v>5095.9378339199975</v>
      </c>
      <c r="F7" s="7">
        <f>'Konstanta b'!$G$44</f>
        <v>-13630.445003520008</v>
      </c>
      <c r="G7" s="7">
        <f>Peramalan!$G$44</f>
        <v>-2791.0864960000054</v>
      </c>
      <c r="H7" s="7">
        <f t="shared" si="0"/>
        <v>134.09851852575824</v>
      </c>
      <c r="I7" s="7">
        <f t="shared" si="1"/>
        <v>134.09851852575824</v>
      </c>
      <c r="J7" s="3" t="s">
        <v>7</v>
      </c>
      <c r="K7" s="7">
        <f>kg!$G$4</f>
        <v>378271.8</v>
      </c>
      <c r="L7" s="7">
        <f>'Single Exponen'!$G$45</f>
        <v>354125.84909439995</v>
      </c>
      <c r="M7" s="7">
        <f>'Double Exponen'!$G$45</f>
        <v>424880.83521904005</v>
      </c>
      <c r="N7" s="7">
        <f>'Konstanta a'!$G$45</f>
        <v>283370.86296975985</v>
      </c>
      <c r="O7" s="7">
        <f>'Konstanta b'!$G$45</f>
        <v>-283019.94449856027</v>
      </c>
      <c r="P7" s="7">
        <f>Peramalan!$G$45</f>
        <v>-618460.22888799943</v>
      </c>
      <c r="Q7" s="7">
        <f t="shared" si="2"/>
        <v>263.49625557284457</v>
      </c>
      <c r="R7" s="7">
        <f t="shared" si="3"/>
        <v>263.49625557284457</v>
      </c>
      <c r="S7" s="3" t="s">
        <v>7</v>
      </c>
      <c r="T7" s="7">
        <f>kg!$G$7</f>
        <v>17468.29</v>
      </c>
      <c r="U7" s="7">
        <f>'Single Exponen'!$G$48</f>
        <v>19032.000076800003</v>
      </c>
      <c r="V7" s="7">
        <f>'Double Exponen'!$G$48</f>
        <v>9118.3865572800005</v>
      </c>
      <c r="W7" s="7">
        <f>'Konstanta a'!$G$48</f>
        <v>28945.613596320007</v>
      </c>
      <c r="X7" s="7">
        <f>'Konstanta b'!$G$48</f>
        <v>39654.454078079994</v>
      </c>
      <c r="Y7" s="7">
        <f>Peramalan!$G$48</f>
        <v>111636.67258399996</v>
      </c>
      <c r="Z7" s="7">
        <f t="shared" si="4"/>
        <v>-539.08185966685892</v>
      </c>
      <c r="AA7" s="7">
        <f t="shared" si="5"/>
        <v>539.08185966685892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Exponen'!$H$44</f>
        <v>16313.029816960001</v>
      </c>
      <c r="D8" s="7">
        <f>'Double Exponen'!$H$44</f>
        <v>12351.347283808005</v>
      </c>
      <c r="E8" s="7">
        <f>'Konstanta a'!$H$44</f>
        <v>20274.712350111997</v>
      </c>
      <c r="F8" s="7">
        <f>'Konstanta b'!$H$44</f>
        <v>15846.730132607976</v>
      </c>
      <c r="G8" s="7">
        <f>Peramalan!$H$44</f>
        <v>-8534.5071696000105</v>
      </c>
      <c r="H8" s="7">
        <f t="shared" si="0"/>
        <v>146.72499463247453</v>
      </c>
      <c r="I8" s="7">
        <f t="shared" si="1"/>
        <v>146.72499463247453</v>
      </c>
      <c r="J8" s="3" t="s">
        <v>8</v>
      </c>
      <c r="K8" s="7">
        <f>kg!$H$4</f>
        <v>463478.68</v>
      </c>
      <c r="L8" s="7">
        <f>'Single Exponen'!$H$45</f>
        <v>441608.11381887994</v>
      </c>
      <c r="M8" s="7">
        <f>'Double Exponen'!$H$45</f>
        <v>426553.56307902402</v>
      </c>
      <c r="N8" s="7">
        <f>'Konstanta a'!$H$45</f>
        <v>456662.66455873585</v>
      </c>
      <c r="O8" s="7">
        <f>'Konstanta b'!$H$45</f>
        <v>60218.202959423623</v>
      </c>
      <c r="P8" s="7">
        <f>Peramalan!$H$45</f>
        <v>350.91847119957674</v>
      </c>
      <c r="Q8" s="7">
        <f t="shared" si="2"/>
        <v>99.924285951794033</v>
      </c>
      <c r="R8" s="7">
        <f t="shared" si="3"/>
        <v>99.924285951794033</v>
      </c>
      <c r="S8" s="3" t="s">
        <v>8</v>
      </c>
      <c r="T8" s="7">
        <f>kg!$H$7</f>
        <v>53358.239999999998</v>
      </c>
      <c r="U8" s="7">
        <f>'Single Exponen'!$H$48</f>
        <v>46492.992015359996</v>
      </c>
      <c r="V8" s="7">
        <f>'Double Exponen'!$H$48</f>
        <v>12855.847103088003</v>
      </c>
      <c r="W8" s="7">
        <f>'Konstanta a'!$H$48</f>
        <v>80130.136927631989</v>
      </c>
      <c r="X8" s="7">
        <f>'Konstanta b'!$H$48</f>
        <v>134548.57964908791</v>
      </c>
      <c r="Y8" s="7">
        <f>Peramalan!$H$48</f>
        <v>68600.067674399994</v>
      </c>
      <c r="Z8" s="7">
        <f t="shared" si="4"/>
        <v>-28.565086993873855</v>
      </c>
      <c r="AA8" s="7">
        <f t="shared" si="5"/>
        <v>28.565086993873855</v>
      </c>
    </row>
    <row r="9" spans="1:27" x14ac:dyDescent="0.3">
      <c r="A9" s="3" t="s">
        <v>9</v>
      </c>
      <c r="B9" s="7">
        <f>kg!$I$3</f>
        <v>11044.68</v>
      </c>
      <c r="C9" s="7">
        <f>'Single Exponen'!$I$44</f>
        <v>12098.349963392</v>
      </c>
      <c r="D9" s="7">
        <f>'Double Exponen'!$I$44</f>
        <v>12326.047551766404</v>
      </c>
      <c r="E9" s="7">
        <f>'Konstanta a'!$I$44</f>
        <v>11870.652375017597</v>
      </c>
      <c r="F9" s="7">
        <f>'Konstanta b'!$I$44</f>
        <v>-910.79035349761352</v>
      </c>
      <c r="G9" s="7">
        <f>Peramalan!$I$44</f>
        <v>36121.442482719969</v>
      </c>
      <c r="H9" s="7">
        <f t="shared" si="0"/>
        <v>-227.0483389534144</v>
      </c>
      <c r="I9" s="7">
        <f t="shared" si="1"/>
        <v>227.0483389534144</v>
      </c>
      <c r="J9" s="3" t="s">
        <v>9</v>
      </c>
      <c r="K9" s="7">
        <f>kg!$I$4</f>
        <v>511860.86</v>
      </c>
      <c r="L9" s="7">
        <f>'Single Exponen'!$I$45</f>
        <v>497810.31076377595</v>
      </c>
      <c r="M9" s="7">
        <f>'Double Exponen'!$I$45</f>
        <v>433679.23784749932</v>
      </c>
      <c r="N9" s="7">
        <f>'Konstanta a'!$I$45</f>
        <v>561941.38368005259</v>
      </c>
      <c r="O9" s="7">
        <f>'Konstanta b'!$I$45</f>
        <v>256524.29166510643</v>
      </c>
      <c r="P9" s="7">
        <f>Peramalan!$I$45</f>
        <v>516880.86751815944</v>
      </c>
      <c r="Q9" s="7">
        <f t="shared" si="2"/>
        <v>-0.98073674126196297</v>
      </c>
      <c r="R9" s="7">
        <f t="shared" si="3"/>
        <v>0.98073674126196297</v>
      </c>
      <c r="S9" s="3" t="s">
        <v>9</v>
      </c>
      <c r="T9" s="7">
        <f>kg!$I$7</f>
        <v>31973.26</v>
      </c>
      <c r="U9" s="7">
        <f>'Single Exponen'!$I$48</f>
        <v>34877.206403071999</v>
      </c>
      <c r="V9" s="7">
        <f>'Double Exponen'!$I$48</f>
        <v>15057.983033086402</v>
      </c>
      <c r="W9" s="7">
        <f>'Konstanta a'!$I$48</f>
        <v>54696.429773057593</v>
      </c>
      <c r="X9" s="7">
        <f>'Konstanta b'!$I$48</f>
        <v>79276.893479942359</v>
      </c>
      <c r="Y9" s="7">
        <f>Peramalan!$I$48</f>
        <v>214678.71657671989</v>
      </c>
      <c r="Z9" s="7">
        <f t="shared" si="4"/>
        <v>-571.43205471296915</v>
      </c>
      <c r="AA9" s="7">
        <f t="shared" si="5"/>
        <v>571.43205471296915</v>
      </c>
    </row>
    <row r="10" spans="1:27" x14ac:dyDescent="0.3">
      <c r="A10" s="3" t="s">
        <v>10</v>
      </c>
      <c r="B10" s="7">
        <f>kg!$J$3</f>
        <v>10889.55</v>
      </c>
      <c r="C10" s="7">
        <f>'Single Exponen'!$J$44</f>
        <v>11131.3099926784</v>
      </c>
      <c r="D10" s="7">
        <f>'Double Exponen'!$J$44</f>
        <v>12206.573795857603</v>
      </c>
      <c r="E10" s="7">
        <f>'Konstanta a'!$J$44</f>
        <v>10056.046189499197</v>
      </c>
      <c r="F10" s="7">
        <f>'Konstanta b'!$J$44</f>
        <v>-4301.0552127168103</v>
      </c>
      <c r="G10" s="7">
        <f>Peramalan!$J$44</f>
        <v>10959.862021519983</v>
      </c>
      <c r="H10" s="7">
        <f t="shared" si="0"/>
        <v>-0.64568344440296732</v>
      </c>
      <c r="I10" s="7">
        <f t="shared" si="1"/>
        <v>0.64568344440296732</v>
      </c>
      <c r="J10" s="3" t="s">
        <v>10</v>
      </c>
      <c r="K10" s="7">
        <f>kg!$J$4</f>
        <v>513170.2</v>
      </c>
      <c r="L10" s="7">
        <f>'Single Exponen'!$J$45</f>
        <v>510098.22215275519</v>
      </c>
      <c r="M10" s="7">
        <f>'Double Exponen'!$J$45</f>
        <v>441321.13627802493</v>
      </c>
      <c r="N10" s="7">
        <f>'Konstanta a'!$J$45</f>
        <v>578875.30802748539</v>
      </c>
      <c r="O10" s="7">
        <f>'Konstanta b'!$J$45</f>
        <v>275108.34349892091</v>
      </c>
      <c r="P10" s="7">
        <f>Peramalan!$J$45</f>
        <v>818465.67534515902</v>
      </c>
      <c r="Q10" s="7">
        <f t="shared" si="2"/>
        <v>-59.492050657882899</v>
      </c>
      <c r="R10" s="7">
        <f t="shared" si="3"/>
        <v>59.492050657882899</v>
      </c>
      <c r="S10" s="3" t="s">
        <v>10</v>
      </c>
      <c r="T10" s="7">
        <f>kg!$J$7</f>
        <v>28522.799999999999</v>
      </c>
      <c r="U10" s="7">
        <f>'Single Exponen'!$J$48</f>
        <v>29793.681280614401</v>
      </c>
      <c r="V10" s="7">
        <f>'Double Exponen'!$J$48</f>
        <v>16531.5528578392</v>
      </c>
      <c r="W10" s="7">
        <f>'Konstanta a'!$J$48</f>
        <v>43055.809703389605</v>
      </c>
      <c r="X10" s="7">
        <f>'Konstanta b'!$J$48</f>
        <v>53048.513691100779</v>
      </c>
      <c r="Y10" s="7">
        <f>Peramalan!$J$48</f>
        <v>133973.32325299995</v>
      </c>
      <c r="Z10" s="7">
        <f t="shared" si="4"/>
        <v>-369.7060711185436</v>
      </c>
      <c r="AA10" s="7">
        <f t="shared" si="5"/>
        <v>369.7060711185436</v>
      </c>
    </row>
    <row r="11" spans="1:27" x14ac:dyDescent="0.3">
      <c r="A11" s="3" t="s">
        <v>11</v>
      </c>
      <c r="B11" s="7">
        <f>kg!$K$3</f>
        <v>8406.34</v>
      </c>
      <c r="C11" s="7">
        <f>'Single Exponen'!$K$44</f>
        <v>8951.3339985356797</v>
      </c>
      <c r="D11" s="7">
        <f>'Double Exponen'!$K$44</f>
        <v>11881.049816125413</v>
      </c>
      <c r="E11" s="7">
        <f>'Konstanta a'!$K$44</f>
        <v>6021.6181809459467</v>
      </c>
      <c r="F11" s="7">
        <f>'Konstanta b'!$K$44</f>
        <v>-11718.863270358926</v>
      </c>
      <c r="G11" s="7">
        <f>Peramalan!$K$44</f>
        <v>5754.9909767823865</v>
      </c>
      <c r="H11" s="7">
        <f t="shared" si="0"/>
        <v>31.539873752639242</v>
      </c>
      <c r="I11" s="7">
        <f t="shared" si="1"/>
        <v>31.539873752639242</v>
      </c>
      <c r="J11" s="3" t="s">
        <v>11</v>
      </c>
      <c r="K11" s="7">
        <f>kg!$K$4</f>
        <v>525723.46</v>
      </c>
      <c r="L11" s="7">
        <f>'Single Exponen'!$K$45</f>
        <v>522598.41243055102</v>
      </c>
      <c r="M11" s="7">
        <f>'Double Exponen'!$K$45</f>
        <v>449448.86389327759</v>
      </c>
      <c r="N11" s="7">
        <f>'Konstanta a'!$K$45</f>
        <v>595747.96096782445</v>
      </c>
      <c r="O11" s="7">
        <f>'Konstanta b'!$K$45</f>
        <v>292598.19414909359</v>
      </c>
      <c r="P11" s="7">
        <f>Peramalan!$K$45</f>
        <v>853983.65152640629</v>
      </c>
      <c r="Q11" s="7">
        <f t="shared" si="2"/>
        <v>-62.439707660450672</v>
      </c>
      <c r="R11" s="7">
        <f t="shared" si="3"/>
        <v>62.439707660450672</v>
      </c>
      <c r="S11" s="3" t="s">
        <v>11</v>
      </c>
      <c r="T11" s="7">
        <f>kg!$K$7</f>
        <v>51078.26</v>
      </c>
      <c r="U11" s="7">
        <f>'Single Exponen'!$K$48</f>
        <v>46821.34425612288</v>
      </c>
      <c r="V11" s="7">
        <f>'Double Exponen'!$K$48</f>
        <v>19560.531997667571</v>
      </c>
      <c r="W11" s="7">
        <f>'Konstanta a'!$K$48</f>
        <v>74082.156514578193</v>
      </c>
      <c r="X11" s="7">
        <f>'Konstanta b'!$K$48</f>
        <v>109043.24903382119</v>
      </c>
      <c r="Y11" s="7">
        <f>Peramalan!$K$48</f>
        <v>96104.323394490377</v>
      </c>
      <c r="Z11" s="7">
        <f t="shared" si="4"/>
        <v>-88.151130039453918</v>
      </c>
      <c r="AA11" s="7">
        <f t="shared" si="5"/>
        <v>88.151130039453918</v>
      </c>
    </row>
    <row r="12" spans="1:27" x14ac:dyDescent="0.3">
      <c r="A12" s="3" t="s">
        <v>12</v>
      </c>
      <c r="B12" s="7">
        <f>kg!$L$3</f>
        <v>18149.95</v>
      </c>
      <c r="C12" s="7">
        <f>'Single Exponen'!$L$44</f>
        <v>16310.226799707136</v>
      </c>
      <c r="D12" s="7">
        <f>'Double Exponen'!$L$44</f>
        <v>12323.967514483586</v>
      </c>
      <c r="E12" s="7">
        <f>'Konstanta a'!$L$44</f>
        <v>20296.486084930686</v>
      </c>
      <c r="F12" s="7">
        <f>'Konstanta b'!$L$44</f>
        <v>15945.037140894194</v>
      </c>
      <c r="G12" s="7">
        <f>Peramalan!$L$44</f>
        <v>-5697.2450894129797</v>
      </c>
      <c r="H12" s="7">
        <f t="shared" si="0"/>
        <v>131.38986658042023</v>
      </c>
      <c r="I12" s="7">
        <f t="shared" si="1"/>
        <v>131.38986658042023</v>
      </c>
      <c r="J12" s="3" t="s">
        <v>12</v>
      </c>
      <c r="K12" s="7">
        <f>kg!$L$4</f>
        <v>480711.96</v>
      </c>
      <c r="L12" s="7">
        <f>'Single Exponen'!$L$45</f>
        <v>489089.25048611022</v>
      </c>
      <c r="M12" s="7">
        <f>'Double Exponen'!$L$45</f>
        <v>453412.9025525609</v>
      </c>
      <c r="N12" s="7">
        <f>'Konstanta a'!$L$45</f>
        <v>524765.59841965954</v>
      </c>
      <c r="O12" s="7">
        <f>'Konstanta b'!$L$45</f>
        <v>142705.39173419721</v>
      </c>
      <c r="P12" s="7">
        <f>Peramalan!$L$45</f>
        <v>888346.15511691803</v>
      </c>
      <c r="Q12" s="7">
        <f t="shared" si="2"/>
        <v>-84.79801399509968</v>
      </c>
      <c r="R12" s="7">
        <f t="shared" si="3"/>
        <v>84.79801399509968</v>
      </c>
      <c r="S12" s="3" t="s">
        <v>12</v>
      </c>
      <c r="T12" s="7">
        <f>kg!$L$7</f>
        <v>50149.88</v>
      </c>
      <c r="U12" s="7">
        <f>'Single Exponen'!$L$48</f>
        <v>49484.172851224575</v>
      </c>
      <c r="V12" s="7">
        <f>'Double Exponen'!$L$48</f>
        <v>22552.896083023275</v>
      </c>
      <c r="W12" s="7">
        <f>'Konstanta a'!$L$48</f>
        <v>76415.449619425868</v>
      </c>
      <c r="X12" s="7">
        <f>'Konstanta b'!$L$48</f>
        <v>107725.10707280516</v>
      </c>
      <c r="Y12" s="7">
        <f>Peramalan!$L$48</f>
        <v>183125.40554839937</v>
      </c>
      <c r="Z12" s="7">
        <f t="shared" si="4"/>
        <v>-265.15621881527807</v>
      </c>
      <c r="AA12" s="7">
        <f t="shared" si="5"/>
        <v>265.15621881527807</v>
      </c>
    </row>
    <row r="13" spans="1:27" x14ac:dyDescent="0.3">
      <c r="A13" s="3" t="s">
        <v>13</v>
      </c>
      <c r="B13" s="7">
        <f>kg!$M$3</f>
        <v>11905.39</v>
      </c>
      <c r="C13" s="7">
        <f>'Single Exponen'!$M$44</f>
        <v>12786.357359941427</v>
      </c>
      <c r="D13" s="7">
        <f>'Double Exponen'!$M$44</f>
        <v>12370.206499029371</v>
      </c>
      <c r="E13" s="7">
        <f>'Konstanta a'!$M$44</f>
        <v>13202.508220853482</v>
      </c>
      <c r="F13" s="7">
        <f>'Konstanta b'!$M$44</f>
        <v>1664.6034436482216</v>
      </c>
      <c r="G13" s="7">
        <f>Peramalan!$M$44</f>
        <v>36241.52322582488</v>
      </c>
      <c r="H13" s="7">
        <f t="shared" si="0"/>
        <v>-204.41273428106834</v>
      </c>
      <c r="I13" s="7">
        <f t="shared" si="1"/>
        <v>204.41273428106834</v>
      </c>
      <c r="J13" s="3" t="s">
        <v>13</v>
      </c>
      <c r="K13" s="7">
        <f>kg!$M$4</f>
        <v>428532.64</v>
      </c>
      <c r="L13" s="7">
        <f>'Single Exponen'!$M$45</f>
        <v>440643.96209722204</v>
      </c>
      <c r="M13" s="7">
        <f>'Double Exponen'!$M$45</f>
        <v>452136.008507027</v>
      </c>
      <c r="N13" s="7">
        <f>'Konstanta a'!$M$45</f>
        <v>429151.91568741709</v>
      </c>
      <c r="O13" s="7">
        <f>'Konstanta b'!$M$45</f>
        <v>-45968.185639219802</v>
      </c>
      <c r="P13" s="7">
        <f>Peramalan!$M$45</f>
        <v>667470.99015385681</v>
      </c>
      <c r="Q13" s="7">
        <f t="shared" si="2"/>
        <v>-55.75732811247628</v>
      </c>
      <c r="R13" s="7">
        <f t="shared" si="3"/>
        <v>55.75732811247628</v>
      </c>
      <c r="S13" s="3" t="s">
        <v>13</v>
      </c>
      <c r="T13" s="7">
        <f>kg!$M$7</f>
        <v>42897.42</v>
      </c>
      <c r="U13" s="7">
        <f>'Single Exponen'!$M$48</f>
        <v>44214.770570244917</v>
      </c>
      <c r="V13" s="7">
        <f>'Double Exponen'!$M$48</f>
        <v>24719.08353174544</v>
      </c>
      <c r="W13" s="7">
        <f>'Konstanta a'!$M$48</f>
        <v>63710.457608744393</v>
      </c>
      <c r="X13" s="7">
        <f>'Konstanta b'!$M$48</f>
        <v>77982.748153997876</v>
      </c>
      <c r="Y13" s="7">
        <f>Peramalan!$M$48</f>
        <v>184140.55669223104</v>
      </c>
      <c r="Z13" s="7">
        <f t="shared" si="4"/>
        <v>-329.25788239066839</v>
      </c>
      <c r="AA13" s="7">
        <f t="shared" si="5"/>
        <v>329.25788239066839</v>
      </c>
    </row>
    <row r="14" spans="1:27" x14ac:dyDescent="0.3">
      <c r="H14" s="6">
        <f>(SUM(H3:H13)/12)</f>
        <v>-24.392383461730702</v>
      </c>
      <c r="I14" s="6">
        <f>(SUM(I3:I13)/12)</f>
        <v>132.23848701326025</v>
      </c>
      <c r="Q14" s="6">
        <f>(SUM(Q3:Q13)/12)</f>
        <v>-0.33745896337849207</v>
      </c>
      <c r="R14" s="6">
        <f>(SUM(R3:R13)/12)</f>
        <v>82.527165332137955</v>
      </c>
      <c r="Z14" s="6">
        <f>(SUM(Z3:Z13)/12)</f>
        <v>-263.97808251652049</v>
      </c>
      <c r="AA14" s="6">
        <f>(SUM(AA3:AA13)/12)</f>
        <v>279.96894886338106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Exponen'!$B$46</f>
        <v>23458.3</v>
      </c>
      <c r="M16" s="7">
        <f>'Double Exponen'!$B$46</f>
        <v>23458.3</v>
      </c>
      <c r="N16" s="7">
        <f>'Konstanta a'!$B$46</f>
        <v>23458.3</v>
      </c>
      <c r="O16" s="7">
        <f>'Konstanta b'!$B$46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Exponen'!$C$46</f>
        <v>38464.94</v>
      </c>
      <c r="M17" s="7">
        <f>'Double Exponen'!$C$46</f>
        <v>24958.964000000004</v>
      </c>
      <c r="N17" s="7">
        <f>'Konstanta a'!$C$46</f>
        <v>51970.915999999997</v>
      </c>
      <c r="O17" s="7">
        <f>'Konstanta b'!$C$46</f>
        <v>54023.903999999973</v>
      </c>
      <c r="P17" s="7">
        <f>Peramalan!$C$46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Exponen'!$D$46</f>
        <v>30694.508000000002</v>
      </c>
      <c r="M18" s="7">
        <f>'Double Exponen'!$D$46</f>
        <v>25532.518400000001</v>
      </c>
      <c r="N18" s="7">
        <f>'Konstanta a'!$D$46</f>
        <v>35856.497600000002</v>
      </c>
      <c r="O18" s="7">
        <f>'Konstanta b'!$D$46</f>
        <v>20647.958399999992</v>
      </c>
      <c r="P18" s="7">
        <f>Peramalan!$D$46</f>
        <v>105994.81999999998</v>
      </c>
      <c r="Q18" s="7">
        <f t="shared" ref="Q18:Q27" si="6">((K18-P18)/K18)*100</f>
        <v>-268.65327160987613</v>
      </c>
      <c r="R18" s="7">
        <f t="shared" ref="R18:R27" si="7">ABS((K18-P18)/K18)*100</f>
        <v>268.65327160987613</v>
      </c>
    </row>
    <row r="19" spans="10:18" x14ac:dyDescent="0.3">
      <c r="J19" s="3" t="s">
        <v>5</v>
      </c>
      <c r="K19" s="7">
        <f>kg!$E$5</f>
        <v>39376.9</v>
      </c>
      <c r="L19" s="7">
        <f>'Single Exponen'!$E$46</f>
        <v>37640.421600000001</v>
      </c>
      <c r="M19" s="7">
        <f>'Double Exponen'!$E$46</f>
        <v>26743.308720000001</v>
      </c>
      <c r="N19" s="7">
        <f>'Konstanta a'!$E$46</f>
        <v>48537.534480000002</v>
      </c>
      <c r="O19" s="7">
        <f>'Konstanta b'!$E$46</f>
        <v>43588.451519999981</v>
      </c>
      <c r="P19" s="7">
        <f>Peramalan!$E$46</f>
        <v>56504.455999999991</v>
      </c>
      <c r="Q19" s="7">
        <f t="shared" si="6"/>
        <v>-43.496456044025784</v>
      </c>
      <c r="R19" s="7">
        <f t="shared" si="7"/>
        <v>43.496456044025784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Exponen'!$F$46</f>
        <v>26617.364320000001</v>
      </c>
      <c r="M20" s="7">
        <f>'Double Exponen'!$F$46</f>
        <v>26730.71428</v>
      </c>
      <c r="N20" s="7">
        <f>'Konstanta a'!$F$46</f>
        <v>26504.014360000001</v>
      </c>
      <c r="O20" s="7">
        <f>'Konstanta b'!$F$46</f>
        <v>-453.39983999999799</v>
      </c>
      <c r="P20" s="7">
        <f>Peramalan!$F$46</f>
        <v>92125.985999999975</v>
      </c>
      <c r="Q20" s="7">
        <f t="shared" si="6"/>
        <v>-286.08469675126554</v>
      </c>
      <c r="R20" s="7">
        <f t="shared" si="7"/>
        <v>286.08469675126554</v>
      </c>
    </row>
    <row r="21" spans="10:18" x14ac:dyDescent="0.3">
      <c r="J21" s="3" t="s">
        <v>7</v>
      </c>
      <c r="K21" s="7">
        <f>kg!$G$5</f>
        <v>57216.9</v>
      </c>
      <c r="L21" s="7">
        <f>'Single Exponen'!$G$46</f>
        <v>51096.992864</v>
      </c>
      <c r="M21" s="7">
        <f>'Double Exponen'!$G$46</f>
        <v>29167.342138400003</v>
      </c>
      <c r="N21" s="7">
        <f>'Konstanta a'!$G$46</f>
        <v>73026.643589599989</v>
      </c>
      <c r="O21" s="7">
        <f>'Konstanta b'!$G$46</f>
        <v>87718.602902399944</v>
      </c>
      <c r="P21" s="7">
        <f>Peramalan!$G$46</f>
        <v>26050.614520000003</v>
      </c>
      <c r="Q21" s="7">
        <f t="shared" si="6"/>
        <v>54.470419543876012</v>
      </c>
      <c r="R21" s="7">
        <f t="shared" si="7"/>
        <v>54.470419543876012</v>
      </c>
    </row>
    <row r="22" spans="10:18" x14ac:dyDescent="0.3">
      <c r="J22" s="3" t="s">
        <v>8</v>
      </c>
      <c r="K22" s="7">
        <f>kg!$H$5</f>
        <v>83736.7</v>
      </c>
      <c r="L22" s="7">
        <f>'Single Exponen'!$H$46</f>
        <v>77208.758572799983</v>
      </c>
      <c r="M22" s="7">
        <f>'Double Exponen'!$H$46</f>
        <v>33971.483781840005</v>
      </c>
      <c r="N22" s="7">
        <f>'Konstanta a'!$H$46</f>
        <v>120446.03336375995</v>
      </c>
      <c r="O22" s="7">
        <f>'Konstanta b'!$H$46</f>
        <v>172949.09916383983</v>
      </c>
      <c r="P22" s="7">
        <f>Peramalan!$H$46</f>
        <v>160745.24649199995</v>
      </c>
      <c r="Q22" s="7">
        <f t="shared" si="6"/>
        <v>-91.965107882206908</v>
      </c>
      <c r="R22" s="7">
        <f t="shared" si="7"/>
        <v>91.965107882206908</v>
      </c>
    </row>
    <row r="23" spans="10:18" x14ac:dyDescent="0.3">
      <c r="J23" s="3" t="s">
        <v>9</v>
      </c>
      <c r="K23" s="7">
        <f>kg!$I$5</f>
        <v>54053.2</v>
      </c>
      <c r="L23" s="7">
        <f>'Single Exponen'!$I$46</f>
        <v>58684.311714559997</v>
      </c>
      <c r="M23" s="7">
        <f>'Double Exponen'!$I$46</f>
        <v>36442.766575112008</v>
      </c>
      <c r="N23" s="7">
        <f>'Konstanta a'!$I$46</f>
        <v>80925.856854007987</v>
      </c>
      <c r="O23" s="7">
        <f>'Konstanta b'!$I$46</f>
        <v>88966.180557791915</v>
      </c>
      <c r="P23" s="7">
        <f>Peramalan!$I$46</f>
        <v>293395.13252759981</v>
      </c>
      <c r="Q23" s="7">
        <f t="shared" si="6"/>
        <v>-442.78957125128545</v>
      </c>
      <c r="R23" s="7">
        <f t="shared" si="7"/>
        <v>442.78957125128545</v>
      </c>
    </row>
    <row r="24" spans="10:18" x14ac:dyDescent="0.3">
      <c r="J24" s="3" t="s">
        <v>10</v>
      </c>
      <c r="K24" s="7">
        <f>kg!$J$5</f>
        <v>11264.5</v>
      </c>
      <c r="L24" s="7">
        <f>'Single Exponen'!$J$46</f>
        <v>20748.462342912004</v>
      </c>
      <c r="M24" s="7">
        <f>'Double Exponen'!$J$46</f>
        <v>34873.336151892006</v>
      </c>
      <c r="N24" s="7">
        <f>'Konstanta a'!$J$46</f>
        <v>6623.5885339320012</v>
      </c>
      <c r="O24" s="7">
        <f>'Konstanta b'!$J$46</f>
        <v>-56499.495235919989</v>
      </c>
      <c r="P24" s="7">
        <f>Peramalan!$J$46</f>
        <v>169892.03741179989</v>
      </c>
      <c r="Q24" s="7">
        <f t="shared" si="6"/>
        <v>-1408.2075317306571</v>
      </c>
      <c r="R24" s="7">
        <f t="shared" si="7"/>
        <v>1408.2075317306571</v>
      </c>
    </row>
    <row r="25" spans="10:18" x14ac:dyDescent="0.3">
      <c r="J25" s="3" t="s">
        <v>11</v>
      </c>
      <c r="K25" s="7">
        <f>kg!$K$5</f>
        <v>24215</v>
      </c>
      <c r="L25" s="7">
        <f>'Single Exponen'!$K$46</f>
        <v>23521.692468582401</v>
      </c>
      <c r="M25" s="7">
        <f>'Double Exponen'!$K$46</f>
        <v>33738.171783561047</v>
      </c>
      <c r="N25" s="7">
        <f>'Konstanta a'!$K$46</f>
        <v>13305.213153603756</v>
      </c>
      <c r="O25" s="7">
        <f>'Konstanta b'!$K$46</f>
        <v>-40865.917259914568</v>
      </c>
      <c r="P25" s="7">
        <f>Peramalan!$K$46</f>
        <v>-49875.906701987988</v>
      </c>
      <c r="Q25" s="7">
        <f t="shared" si="6"/>
        <v>305.97111997517237</v>
      </c>
      <c r="R25" s="7">
        <f t="shared" si="7"/>
        <v>305.97111997517237</v>
      </c>
    </row>
    <row r="26" spans="10:18" x14ac:dyDescent="0.3">
      <c r="J26" s="3" t="s">
        <v>12</v>
      </c>
      <c r="K26" s="7">
        <f>kg!$L$5</f>
        <v>26860.6</v>
      </c>
      <c r="L26" s="7">
        <f>'Single Exponen'!$L$46</f>
        <v>26192.818493716477</v>
      </c>
      <c r="M26" s="7">
        <f>'Double Exponen'!$L$46</f>
        <v>32983.63645457659</v>
      </c>
      <c r="N26" s="7">
        <f>'Konstanta a'!$L$46</f>
        <v>19402.000532856364</v>
      </c>
      <c r="O26" s="7">
        <f>'Konstanta b'!$L$46</f>
        <v>-27163.271843440441</v>
      </c>
      <c r="P26" s="7">
        <f>Peramalan!$L$46</f>
        <v>-27560.704106310812</v>
      </c>
      <c r="Q26" s="7">
        <f t="shared" si="6"/>
        <v>202.60643509940513</v>
      </c>
      <c r="R26" s="7">
        <f t="shared" si="7"/>
        <v>202.60643509940513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Exponen'!$M$46</f>
        <v>32320.723698743292</v>
      </c>
      <c r="M27" s="7">
        <f>'Double Exponen'!$M$46</f>
        <v>32917.345178993259</v>
      </c>
      <c r="N27" s="7">
        <f>'Konstanta a'!$M$46</f>
        <v>31724.102218493324</v>
      </c>
      <c r="O27" s="7">
        <f>'Konstanta b'!$M$46</f>
        <v>-2386.4859209998676</v>
      </c>
      <c r="P27" s="7">
        <f>Peramalan!$M$46</f>
        <v>-7761.2713105840776</v>
      </c>
      <c r="Q27" s="7">
        <f t="shared" si="6"/>
        <v>122.92659466034934</v>
      </c>
      <c r="R27" s="7">
        <f t="shared" si="7"/>
        <v>122.92659466034934</v>
      </c>
    </row>
    <row r="28" spans="10:18" x14ac:dyDescent="0.3">
      <c r="Q28" s="6">
        <f>(SUM(Q17:Q27)/12)</f>
        <v>-150.89904972430892</v>
      </c>
      <c r="R28" s="6">
        <f>(SUM(R17:R27)/12)</f>
        <v>272.63372282057725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Exponen'!$B$47</f>
        <v>4698.6499999999996</v>
      </c>
      <c r="M30" s="7">
        <f>'Double Exponen'!$B$47</f>
        <v>4698.6499999999996</v>
      </c>
      <c r="N30" s="7">
        <f>'Konstanta a'!$B$47</f>
        <v>4698.6499999999996</v>
      </c>
      <c r="O30" s="7">
        <f>'Konstanta b'!$B$47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Exponen'!$C$47</f>
        <v>7855.73</v>
      </c>
      <c r="M31" s="7">
        <f>'Double Exponen'!$C$47</f>
        <v>5014.3580000000002</v>
      </c>
      <c r="N31" s="7">
        <f>'Konstanta a'!$C$47</f>
        <v>10697.101999999999</v>
      </c>
      <c r="O31" s="7">
        <f>'Konstanta b'!$C$47</f>
        <v>11365.487999999992</v>
      </c>
      <c r="P31" s="7">
        <f>Peramalan!$C$47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Exponen'!$D$47</f>
        <v>7962.7060000000001</v>
      </c>
      <c r="M32" s="7">
        <f>'Double Exponen'!$D$47</f>
        <v>5309.1927999999998</v>
      </c>
      <c r="N32" s="7">
        <f>'Konstanta a'!$D$47</f>
        <v>10616.2192</v>
      </c>
      <c r="O32" s="7">
        <f>'Konstanta b'!$D$47</f>
        <v>10614.052799999996</v>
      </c>
      <c r="P32" s="7">
        <f>Peramalan!$D$47</f>
        <v>22062.589999999989</v>
      </c>
      <c r="Q32" s="7">
        <f t="shared" ref="Q32:Q41" si="8">((K32-P32)/K32)*100</f>
        <v>-176.14654325391598</v>
      </c>
      <c r="R32" s="7">
        <f t="shared" ref="R32:R41" si="9">ABS((K32-P32)/K32)*100</f>
        <v>176.14654325391598</v>
      </c>
    </row>
    <row r="33" spans="10:18" x14ac:dyDescent="0.3">
      <c r="J33" s="3" t="s">
        <v>5</v>
      </c>
      <c r="K33" s="7">
        <f>kg!$E$6</f>
        <v>6543.56</v>
      </c>
      <c r="L33" s="7">
        <f>'Single Exponen'!$E$47</f>
        <v>6827.3892000000005</v>
      </c>
      <c r="M33" s="7">
        <f>'Double Exponen'!$E$47</f>
        <v>5461.0124400000004</v>
      </c>
      <c r="N33" s="7">
        <f>'Konstanta a'!$E$47</f>
        <v>8193.7659600000006</v>
      </c>
      <c r="O33" s="7">
        <f>'Konstanta b'!$E$47</f>
        <v>5465.5070399999977</v>
      </c>
      <c r="P33" s="7">
        <f>Peramalan!$E$47</f>
        <v>21230.271999999997</v>
      </c>
      <c r="Q33" s="7">
        <f t="shared" si="8"/>
        <v>-224.44528666352866</v>
      </c>
      <c r="R33" s="7">
        <f t="shared" si="9"/>
        <v>224.44528666352866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Exponen'!$F$47</f>
        <v>37923.557839999994</v>
      </c>
      <c r="M34" s="7">
        <f>'Double Exponen'!$F$47</f>
        <v>8707.2669800000003</v>
      </c>
      <c r="N34" s="7">
        <f>'Konstanta a'!$F$47</f>
        <v>67139.848699999988</v>
      </c>
      <c r="O34" s="7">
        <f>'Konstanta b'!$F$47</f>
        <v>116865.16343999992</v>
      </c>
      <c r="P34" s="7">
        <f>Peramalan!$F$47</f>
        <v>13659.272999999997</v>
      </c>
      <c r="Q34" s="7">
        <f t="shared" si="8"/>
        <v>70.109430254542914</v>
      </c>
      <c r="R34" s="7">
        <f t="shared" si="9"/>
        <v>70.109430254542914</v>
      </c>
    </row>
    <row r="35" spans="10:18" x14ac:dyDescent="0.3">
      <c r="J35" s="3" t="s">
        <v>7</v>
      </c>
      <c r="K35" s="7">
        <f>kg!$G$6</f>
        <v>6943.02</v>
      </c>
      <c r="L35" s="7">
        <f>'Single Exponen'!$G$47</f>
        <v>13139.127568000002</v>
      </c>
      <c r="M35" s="7">
        <f>'Double Exponen'!$G$47</f>
        <v>9150.4530388000003</v>
      </c>
      <c r="N35" s="7">
        <f>'Konstanta a'!$G$47</f>
        <v>17127.802097200001</v>
      </c>
      <c r="O35" s="7">
        <f>'Konstanta b'!$G$47</f>
        <v>15954.698116799998</v>
      </c>
      <c r="P35" s="7">
        <f>Peramalan!$G$47</f>
        <v>184005.01213999989</v>
      </c>
      <c r="Q35" s="7">
        <f t="shared" si="8"/>
        <v>-2550.2157870782439</v>
      </c>
      <c r="R35" s="7">
        <f t="shared" si="9"/>
        <v>2550.2157870782439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Exponen'!$H$47</f>
        <v>9529.9935136000004</v>
      </c>
      <c r="M36" s="7">
        <f>'Double Exponen'!$H$47</f>
        <v>9188.4070862799999</v>
      </c>
      <c r="N36" s="7">
        <f>'Konstanta a'!$H$47</f>
        <v>9871.5799409200008</v>
      </c>
      <c r="O36" s="7">
        <f>'Konstanta b'!$H$47</f>
        <v>1366.3457092800011</v>
      </c>
      <c r="P36" s="7">
        <f>Peramalan!$H$47</f>
        <v>33082.500214</v>
      </c>
      <c r="Q36" s="7">
        <f t="shared" si="8"/>
        <v>-283.44474042358871</v>
      </c>
      <c r="R36" s="7">
        <f t="shared" si="9"/>
        <v>283.44474042358871</v>
      </c>
    </row>
    <row r="37" spans="10:18" x14ac:dyDescent="0.3">
      <c r="J37" s="3" t="s">
        <v>9</v>
      </c>
      <c r="K37" s="7">
        <f>kg!$I$6</f>
        <v>17194</v>
      </c>
      <c r="L37" s="7">
        <f>'Single Exponen'!$I$47</f>
        <v>15661.198702719999</v>
      </c>
      <c r="M37" s="7">
        <f>'Double Exponen'!$I$47</f>
        <v>9835.6862479240008</v>
      </c>
      <c r="N37" s="7">
        <f>'Konstanta a'!$I$47</f>
        <v>21486.711157515998</v>
      </c>
      <c r="O37" s="7">
        <f>'Konstanta b'!$I$47</f>
        <v>23302.049819183983</v>
      </c>
      <c r="P37" s="7">
        <f>Peramalan!$I$47</f>
        <v>11237.925650200003</v>
      </c>
      <c r="Q37" s="7">
        <f t="shared" si="8"/>
        <v>34.640423111550525</v>
      </c>
      <c r="R37" s="7">
        <f t="shared" si="9"/>
        <v>34.640423111550525</v>
      </c>
    </row>
    <row r="38" spans="10:18" x14ac:dyDescent="0.3">
      <c r="J38" s="3" t="s">
        <v>10</v>
      </c>
      <c r="K38" s="7">
        <f>kg!$J$6</f>
        <v>17242</v>
      </c>
      <c r="L38" s="7">
        <f>'Single Exponen'!$J$47</f>
        <v>16925.839740544001</v>
      </c>
      <c r="M38" s="7">
        <f>'Double Exponen'!$J$47</f>
        <v>10544.701597186002</v>
      </c>
      <c r="N38" s="7">
        <f>'Konstanta a'!$J$47</f>
        <v>23306.977883902</v>
      </c>
      <c r="O38" s="7">
        <f>'Konstanta b'!$J$47</f>
        <v>25524.552573431985</v>
      </c>
      <c r="P38" s="7">
        <f>Peramalan!$J$47</f>
        <v>44788.760976699981</v>
      </c>
      <c r="Q38" s="7">
        <f t="shared" si="8"/>
        <v>-159.765462108224</v>
      </c>
      <c r="R38" s="7">
        <f t="shared" si="9"/>
        <v>159.765462108224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Exponen'!$K$47</f>
        <v>31518.927948108794</v>
      </c>
      <c r="M39" s="7">
        <f>'Double Exponen'!$K$47</f>
        <v>12642.124232278282</v>
      </c>
      <c r="N39" s="7">
        <f>'Konstanta a'!$K$47</f>
        <v>50395.73166393931</v>
      </c>
      <c r="O39" s="7">
        <f>'Konstanta b'!$K$47</f>
        <v>75507.21486332202</v>
      </c>
      <c r="P39" s="7">
        <f>Peramalan!$K$47</f>
        <v>48831.530457333982</v>
      </c>
      <c r="Q39" s="7">
        <f t="shared" si="8"/>
        <v>-38.85532671732178</v>
      </c>
      <c r="R39" s="7">
        <f t="shared" si="9"/>
        <v>38.85532671732178</v>
      </c>
    </row>
    <row r="40" spans="10:18" x14ac:dyDescent="0.3">
      <c r="J40" s="3" t="s">
        <v>12</v>
      </c>
      <c r="K40" s="7">
        <f>kg!$L$6</f>
        <v>6543.4</v>
      </c>
      <c r="L40" s="7">
        <f>'Single Exponen'!$L$47</f>
        <v>11538.50558962176</v>
      </c>
      <c r="M40" s="7">
        <f>'Double Exponen'!$L$47</f>
        <v>12531.762368012631</v>
      </c>
      <c r="N40" s="7">
        <f>'Konstanta a'!$L$47</f>
        <v>10545.248811230889</v>
      </c>
      <c r="O40" s="7">
        <f>'Konstanta b'!$L$47</f>
        <v>-3973.0271135634812</v>
      </c>
      <c r="P40" s="7">
        <f>Peramalan!$L$47</f>
        <v>125902.94652726133</v>
      </c>
      <c r="Q40" s="7">
        <f t="shared" si="8"/>
        <v>-1824.1211988761399</v>
      </c>
      <c r="R40" s="7">
        <f t="shared" si="9"/>
        <v>1824.1211988761399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Exponen'!$M$47</f>
        <v>9028.9331179243527</v>
      </c>
      <c r="M41" s="7">
        <f>'Double Exponen'!$M$47</f>
        <v>12181.479443003802</v>
      </c>
      <c r="N41" s="7">
        <f>'Konstanta a'!$M$47</f>
        <v>5876.3867928449035</v>
      </c>
      <c r="O41" s="7">
        <f>'Konstanta b'!$M$47</f>
        <v>-12610.185300317791</v>
      </c>
      <c r="P41" s="7">
        <f>Peramalan!$M$47</f>
        <v>6572.2216976674081</v>
      </c>
      <c r="Q41" s="7">
        <f t="shared" si="8"/>
        <v>21.773607009341056</v>
      </c>
      <c r="R41" s="7">
        <f t="shared" si="9"/>
        <v>21.773607009341056</v>
      </c>
    </row>
    <row r="42" spans="10:18" x14ac:dyDescent="0.3">
      <c r="Q42" s="6">
        <f>(SUM(Q31:Q41)/12)</f>
        <v>-423.73516289401476</v>
      </c>
      <c r="R42" s="6">
        <f>(SUM(R31:R41)/12)</f>
        <v>452.43056129281246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B49F2-6E13-4E7D-8D00-FD7A21A15582}">
  <dimension ref="A1:O180"/>
  <sheetViews>
    <sheetView tabSelected="1" zoomScaleNormal="100" workbookViewId="0">
      <selection activeCell="P6" sqref="P6"/>
    </sheetView>
  </sheetViews>
  <sheetFormatPr defaultRowHeight="14.4" x14ac:dyDescent="0.3"/>
  <cols>
    <col min="1" max="1" width="13.109375" style="1" bestFit="1" customWidth="1"/>
    <col min="2" max="2" width="29" style="1" bestFit="1" customWidth="1"/>
    <col min="3" max="9" width="9.44140625" style="1" bestFit="1" customWidth="1"/>
    <col min="10" max="10" width="9.77734375" style="1" bestFit="1" customWidth="1"/>
    <col min="11" max="11" width="9.44140625" style="1" bestFit="1" customWidth="1"/>
    <col min="12" max="12" width="9.5546875" style="1" bestFit="1" customWidth="1"/>
    <col min="13" max="13" width="9.44140625" style="1" bestFit="1" customWidth="1"/>
    <col min="14" max="14" width="10.44140625" style="1" bestFit="1" customWidth="1"/>
    <col min="15" max="16384" width="8.88671875" style="1"/>
  </cols>
  <sheetData>
    <row r="1" spans="1:14" x14ac:dyDescent="0.3">
      <c r="A1" s="8" t="s">
        <v>1</v>
      </c>
      <c r="B1" s="32" t="str">
        <f>kg!B1</f>
        <v>Januari</v>
      </c>
      <c r="C1" s="32" t="str">
        <f>kg!C1</f>
        <v>Februari</v>
      </c>
      <c r="D1" s="32" t="str">
        <f>kg!D1</f>
        <v>Maret</v>
      </c>
      <c r="E1" s="32" t="str">
        <f>kg!E1</f>
        <v>April</v>
      </c>
      <c r="F1" s="32" t="str">
        <f>kg!F1</f>
        <v>Mei</v>
      </c>
      <c r="G1" s="32" t="str">
        <f>kg!G1</f>
        <v>Juni</v>
      </c>
      <c r="H1" s="32" t="str">
        <f>kg!H1</f>
        <v>Juli</v>
      </c>
      <c r="I1" s="32" t="str">
        <f>kg!I1</f>
        <v>Agustus</v>
      </c>
      <c r="J1" s="32" t="str">
        <f>kg!J1</f>
        <v>September</v>
      </c>
      <c r="K1" s="32" t="str">
        <f>kg!K1</f>
        <v>Oktober</v>
      </c>
      <c r="L1" s="32" t="str">
        <f>kg!L1</f>
        <v>November</v>
      </c>
      <c r="M1" s="32" t="str">
        <f>kg!M1</f>
        <v>Desember</v>
      </c>
      <c r="N1" s="30" t="s">
        <v>14</v>
      </c>
    </row>
    <row r="2" spans="1:14" x14ac:dyDescent="0.3">
      <c r="A2" s="9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0"/>
    </row>
    <row r="3" spans="1:14" x14ac:dyDescent="0.3">
      <c r="A3" s="3" t="str">
        <f>kg!A3</f>
        <v>Oil A 20 LT</v>
      </c>
      <c r="B3" s="7">
        <f>kg!B3</f>
        <v>12588.09</v>
      </c>
      <c r="C3" s="7">
        <f>kg!C3</f>
        <v>4789.75</v>
      </c>
      <c r="D3" s="7">
        <f>kg!D3</f>
        <v>21025.84</v>
      </c>
      <c r="E3" s="7">
        <f>kg!E3</f>
        <v>11100.97</v>
      </c>
      <c r="F3" s="7">
        <f>kg!F3</f>
        <v>9095.66</v>
      </c>
      <c r="G3" s="7">
        <f>kg!G3</f>
        <v>8185.36</v>
      </c>
      <c r="H3" s="7">
        <f>kg!H3</f>
        <v>18265.400000000001</v>
      </c>
      <c r="I3" s="7">
        <f>kg!I3</f>
        <v>11044.68</v>
      </c>
      <c r="J3" s="7">
        <f>kg!J3</f>
        <v>10889.55</v>
      </c>
      <c r="K3" s="7">
        <f>kg!K3</f>
        <v>8406.34</v>
      </c>
      <c r="L3" s="7">
        <f>kg!L3</f>
        <v>18149.95</v>
      </c>
      <c r="M3" s="7">
        <f>kg!M3</f>
        <v>11905.39</v>
      </c>
      <c r="N3" s="7">
        <f>kg!N3</f>
        <v>145446.97999999998</v>
      </c>
    </row>
    <row r="4" spans="1:14" x14ac:dyDescent="0.3">
      <c r="A4" s="3" t="str">
        <f>kg!A4</f>
        <v>Oil A 200 LT</v>
      </c>
      <c r="B4" s="7">
        <f>kg!B4</f>
        <v>459915.78</v>
      </c>
      <c r="C4" s="7">
        <f>kg!C4</f>
        <v>397220.76</v>
      </c>
      <c r="D4" s="7">
        <f>kg!D4</f>
        <v>389238.98</v>
      </c>
      <c r="E4" s="7">
        <f>kg!E4</f>
        <v>505904.1</v>
      </c>
      <c r="F4" s="7">
        <f>kg!F4</f>
        <v>201079.58</v>
      </c>
      <c r="G4" s="7">
        <f>kg!G4</f>
        <v>378271.8</v>
      </c>
      <c r="H4" s="7">
        <f>kg!H4</f>
        <v>463478.68</v>
      </c>
      <c r="I4" s="7">
        <f>kg!I4</f>
        <v>511860.86</v>
      </c>
      <c r="J4" s="7">
        <f>kg!J4</f>
        <v>513170.2</v>
      </c>
      <c r="K4" s="7">
        <f>kg!K4</f>
        <v>525723.46</v>
      </c>
      <c r="L4" s="7">
        <f>kg!L4</f>
        <v>480711.96</v>
      </c>
      <c r="M4" s="7">
        <f>kg!M4</f>
        <v>428532.64</v>
      </c>
      <c r="N4" s="7">
        <f>kg!N4</f>
        <v>5255108.8</v>
      </c>
    </row>
    <row r="5" spans="1:14" x14ac:dyDescent="0.3">
      <c r="A5" s="3" t="str">
        <f>kg!A5</f>
        <v>Oil A 1000 LT</v>
      </c>
      <c r="B5" s="7">
        <f>kg!B5</f>
        <v>23458.3</v>
      </c>
      <c r="C5" s="7">
        <f>kg!C5</f>
        <v>42216.6</v>
      </c>
      <c r="D5" s="7">
        <f>kg!D5</f>
        <v>28751.9</v>
      </c>
      <c r="E5" s="7">
        <f>kg!E5</f>
        <v>39376.9</v>
      </c>
      <c r="F5" s="7">
        <f>kg!F5</f>
        <v>23861.599999999999</v>
      </c>
      <c r="G5" s="7">
        <f>kg!G5</f>
        <v>57216.9</v>
      </c>
      <c r="H5" s="7">
        <f>kg!H5</f>
        <v>83736.7</v>
      </c>
      <c r="I5" s="7">
        <f>kg!I5</f>
        <v>54053.2</v>
      </c>
      <c r="J5" s="7">
        <f>kg!J5</f>
        <v>11264.5</v>
      </c>
      <c r="K5" s="7">
        <f>kg!K5</f>
        <v>24215</v>
      </c>
      <c r="L5" s="7">
        <f>kg!L5</f>
        <v>26860.6</v>
      </c>
      <c r="M5" s="7">
        <f>kg!M5</f>
        <v>33852.699999999997</v>
      </c>
      <c r="N5" s="7">
        <f>kg!N5</f>
        <v>448864.89999999997</v>
      </c>
    </row>
    <row r="6" spans="1:14" x14ac:dyDescent="0.3">
      <c r="A6" s="3" t="str">
        <f>kg!A6</f>
        <v>Oil B 20 LT</v>
      </c>
      <c r="B6" s="7">
        <f>kg!B6</f>
        <v>4698.6499999999996</v>
      </c>
      <c r="C6" s="7">
        <f>kg!C6</f>
        <v>8645</v>
      </c>
      <c r="D6" s="7">
        <f>kg!D6</f>
        <v>7989.45</v>
      </c>
      <c r="E6" s="7">
        <f>kg!E6</f>
        <v>6543.56</v>
      </c>
      <c r="F6" s="7">
        <f>kg!F6</f>
        <v>45697.599999999999</v>
      </c>
      <c r="G6" s="7">
        <f>kg!G6</f>
        <v>6943.02</v>
      </c>
      <c r="H6" s="7">
        <f>kg!H6</f>
        <v>8627.7099999999991</v>
      </c>
      <c r="I6" s="7">
        <f>kg!I6</f>
        <v>17194</v>
      </c>
      <c r="J6" s="7">
        <f>kg!J6</f>
        <v>17242</v>
      </c>
      <c r="K6" s="7">
        <f>kg!K6</f>
        <v>35167.199999999997</v>
      </c>
      <c r="L6" s="7">
        <f>kg!L6</f>
        <v>6543.4</v>
      </c>
      <c r="M6" s="7">
        <f>kg!M6</f>
        <v>8401.5400000000009</v>
      </c>
      <c r="N6" s="7">
        <f>kg!N6</f>
        <v>173693.13</v>
      </c>
    </row>
    <row r="7" spans="1:14" x14ac:dyDescent="0.3">
      <c r="A7" s="3" t="str">
        <f>kg!A7</f>
        <v>Oil B 200 LT</v>
      </c>
      <c r="B7" s="7">
        <f>kg!B7</f>
        <v>1033.08</v>
      </c>
      <c r="C7" s="7">
        <f>kg!C7</f>
        <v>25477.94</v>
      </c>
      <c r="D7" s="7">
        <f>kg!D7</f>
        <v>19497.02</v>
      </c>
      <c r="E7" s="7">
        <f>kg!E7</f>
        <v>18855.900000000001</v>
      </c>
      <c r="F7" s="7">
        <f>kg!F7</f>
        <v>26851.599999999999</v>
      </c>
      <c r="G7" s="7">
        <f>kg!G7</f>
        <v>17468.29</v>
      </c>
      <c r="H7" s="7">
        <f>kg!H7</f>
        <v>53358.239999999998</v>
      </c>
      <c r="I7" s="7">
        <f>kg!I7</f>
        <v>31973.26</v>
      </c>
      <c r="J7" s="7">
        <f>kg!J7</f>
        <v>28522.799999999999</v>
      </c>
      <c r="K7" s="7">
        <f>kg!K7</f>
        <v>51078.26</v>
      </c>
      <c r="L7" s="7">
        <f>kg!L7</f>
        <v>50149.88</v>
      </c>
      <c r="M7" s="7">
        <f>kg!M7</f>
        <v>42897.42</v>
      </c>
      <c r="N7" s="7">
        <f>kg!N7</f>
        <v>367163.68999999994</v>
      </c>
    </row>
    <row r="8" spans="1:14" x14ac:dyDescent="0.3">
      <c r="A8" s="3" t="s">
        <v>15</v>
      </c>
      <c r="B8" s="7">
        <f>SUM(B3:B7)</f>
        <v>501693.90000000008</v>
      </c>
      <c r="C8" s="7">
        <f t="shared" ref="C8:N8" si="0">SUM(C3:C7)</f>
        <v>478350.05</v>
      </c>
      <c r="D8" s="7">
        <f t="shared" si="0"/>
        <v>466503.19000000006</v>
      </c>
      <c r="E8" s="7">
        <f t="shared" si="0"/>
        <v>581781.43000000005</v>
      </c>
      <c r="F8" s="7">
        <f t="shared" si="0"/>
        <v>306586.03999999998</v>
      </c>
      <c r="G8" s="7">
        <f t="shared" si="0"/>
        <v>468085.37</v>
      </c>
      <c r="H8" s="7">
        <f t="shared" si="0"/>
        <v>627466.73</v>
      </c>
      <c r="I8" s="7">
        <f t="shared" si="0"/>
        <v>626126</v>
      </c>
      <c r="J8" s="7">
        <f t="shared" si="0"/>
        <v>581089.05000000005</v>
      </c>
      <c r="K8" s="7">
        <f t="shared" si="0"/>
        <v>644590.25999999989</v>
      </c>
      <c r="L8" s="7">
        <f t="shared" si="0"/>
        <v>582415.79</v>
      </c>
      <c r="M8" s="7">
        <f t="shared" si="0"/>
        <v>525589.69000000006</v>
      </c>
      <c r="N8" s="7">
        <f t="shared" si="0"/>
        <v>6390277.5</v>
      </c>
    </row>
    <row r="9" spans="1:14" x14ac:dyDescent="0.3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4" x14ac:dyDescent="0.3">
      <c r="A10" s="33" t="s">
        <v>31</v>
      </c>
      <c r="B10" s="35" t="s">
        <v>32</v>
      </c>
    </row>
    <row r="11" spans="1:14" x14ac:dyDescent="0.3">
      <c r="A11" s="34"/>
      <c r="B11" s="36"/>
    </row>
    <row r="12" spans="1:14" x14ac:dyDescent="0.3">
      <c r="A12" s="14" t="str">
        <f>A3</f>
        <v>Oil A 20 LT</v>
      </c>
      <c r="B12" s="12">
        <f>'Kecepatan Produksi'!E3</f>
        <v>885</v>
      </c>
    </row>
    <row r="13" spans="1:14" x14ac:dyDescent="0.3">
      <c r="A13" s="14" t="str">
        <f t="shared" ref="A13:A16" si="1">A4</f>
        <v>Oil A 200 LT</v>
      </c>
      <c r="B13" s="12">
        <f>'Kecepatan Produksi'!E4</f>
        <v>6673.0769230769229</v>
      </c>
    </row>
    <row r="14" spans="1:14" x14ac:dyDescent="0.3">
      <c r="A14" s="14" t="str">
        <f t="shared" si="1"/>
        <v>Oil A 1000 LT</v>
      </c>
      <c r="B14" s="12">
        <f>'Kecepatan Produksi'!E5</f>
        <v>8500</v>
      </c>
    </row>
    <row r="15" spans="1:14" x14ac:dyDescent="0.3">
      <c r="A15" s="14" t="str">
        <f t="shared" si="1"/>
        <v>Oil B 20 LT</v>
      </c>
      <c r="B15" s="12">
        <f>'Kecepatan Produksi'!E6</f>
        <v>885</v>
      </c>
    </row>
    <row r="16" spans="1:14" x14ac:dyDescent="0.3">
      <c r="A16" s="14" t="str">
        <f t="shared" si="1"/>
        <v>Oil B 200 LT</v>
      </c>
      <c r="B16" s="12">
        <f>'Kecepatan Produksi'!E7</f>
        <v>6673.0769230769229</v>
      </c>
    </row>
    <row r="26" spans="1:14" x14ac:dyDescent="0.3">
      <c r="A26" s="1" t="s">
        <v>72</v>
      </c>
    </row>
    <row r="27" spans="1:14" x14ac:dyDescent="0.3">
      <c r="A27" s="7">
        <f>'Single Exponen'!A1</f>
        <v>0.1</v>
      </c>
      <c r="B27" s="7" t="str">
        <f>'Single Exponen'!B1</f>
        <v>T1</v>
      </c>
      <c r="C27" s="7" t="str">
        <f>'Single Exponen'!C1</f>
        <v>T2</v>
      </c>
      <c r="D27" s="7" t="str">
        <f>'Single Exponen'!D1</f>
        <v>T3</v>
      </c>
      <c r="E27" s="7" t="str">
        <f>'Single Exponen'!E1</f>
        <v>T4</v>
      </c>
      <c r="F27" s="7" t="str">
        <f>'Single Exponen'!F1</f>
        <v>T5</v>
      </c>
      <c r="G27" s="7" t="str">
        <f>'Single Exponen'!G1</f>
        <v>T6</v>
      </c>
      <c r="H27" s="7" t="str">
        <f>'Single Exponen'!H1</f>
        <v>T7</v>
      </c>
      <c r="I27" s="7" t="str">
        <f>'Single Exponen'!I1</f>
        <v>T8</v>
      </c>
      <c r="J27" s="7" t="str">
        <f>'Single Exponen'!J1</f>
        <v>T9</v>
      </c>
      <c r="K27" s="7" t="str">
        <f>'Single Exponen'!K1</f>
        <v>T10</v>
      </c>
      <c r="L27" s="7" t="str">
        <f>'Single Exponen'!L1</f>
        <v>T11</v>
      </c>
      <c r="M27" s="7" t="str">
        <f>'Single Exponen'!M1</f>
        <v>T12</v>
      </c>
      <c r="N27" s="6"/>
    </row>
    <row r="28" spans="1:14" x14ac:dyDescent="0.3">
      <c r="A28" s="7" t="str">
        <f>'Single Exponen'!A2</f>
        <v>Oil A 20 LT</v>
      </c>
      <c r="B28" s="7">
        <f>'Single Exponen'!B2</f>
        <v>12588.09</v>
      </c>
      <c r="C28" s="7">
        <f>'Single Exponen'!C2</f>
        <v>11808.256000000001</v>
      </c>
      <c r="D28" s="7">
        <f>'Single Exponen'!D2</f>
        <v>12730.014400000002</v>
      </c>
      <c r="E28" s="7">
        <f>'Single Exponen'!E2</f>
        <v>12567.109960000002</v>
      </c>
      <c r="F28" s="7">
        <f>'Single Exponen'!F2</f>
        <v>12219.964964000003</v>
      </c>
      <c r="G28" s="7">
        <f>'Single Exponen'!G2</f>
        <v>11816.504467600003</v>
      </c>
      <c r="H28" s="7">
        <f>'Single Exponen'!H2</f>
        <v>12461.394020840004</v>
      </c>
      <c r="I28" s="7">
        <f>'Single Exponen'!I2</f>
        <v>12319.722618756005</v>
      </c>
      <c r="J28" s="7">
        <f>'Single Exponen'!J2</f>
        <v>12176.705356880404</v>
      </c>
      <c r="K28" s="7">
        <f>'Single Exponen'!K2</f>
        <v>11799.668821192365</v>
      </c>
      <c r="L28" s="7">
        <f>'Single Exponen'!L2</f>
        <v>12434.69693907313</v>
      </c>
      <c r="M28" s="7">
        <f>'Single Exponen'!M2</f>
        <v>12381.766245165818</v>
      </c>
    </row>
    <row r="29" spans="1:14" x14ac:dyDescent="0.3">
      <c r="A29" s="7" t="str">
        <f>'Single Exponen'!A3</f>
        <v>Oil A 200 LT</v>
      </c>
      <c r="B29" s="7">
        <f>'Single Exponen'!B3</f>
        <v>459915.78</v>
      </c>
      <c r="C29" s="7">
        <f>'Single Exponen'!C3</f>
        <v>453646.27800000005</v>
      </c>
      <c r="D29" s="7">
        <f>'Single Exponen'!D3</f>
        <v>447205.54820000002</v>
      </c>
      <c r="E29" s="7">
        <f>'Single Exponen'!E3</f>
        <v>453075.40338000003</v>
      </c>
      <c r="F29" s="7">
        <f>'Single Exponen'!F3</f>
        <v>427875.82104200003</v>
      </c>
      <c r="G29" s="7">
        <f>'Single Exponen'!G3</f>
        <v>422915.41893780004</v>
      </c>
      <c r="H29" s="7">
        <f>'Single Exponen'!H3</f>
        <v>426971.74504402006</v>
      </c>
      <c r="I29" s="7">
        <f>'Single Exponen'!I3</f>
        <v>435460.6565396181</v>
      </c>
      <c r="J29" s="7">
        <f>'Single Exponen'!J3</f>
        <v>443231.61088565632</v>
      </c>
      <c r="K29" s="7">
        <f>'Single Exponen'!K3</f>
        <v>451480.79579709074</v>
      </c>
      <c r="L29" s="7">
        <f>'Single Exponen'!L3</f>
        <v>454403.9122173817</v>
      </c>
      <c r="M29" s="7">
        <f>'Single Exponen'!M3</f>
        <v>451816.78499564354</v>
      </c>
    </row>
    <row r="30" spans="1:14" x14ac:dyDescent="0.3">
      <c r="A30" s="7" t="str">
        <f>'Single Exponen'!A4</f>
        <v>Oil A 1000 LT</v>
      </c>
      <c r="B30" s="7">
        <f>'Single Exponen'!B4</f>
        <v>23458.3</v>
      </c>
      <c r="C30" s="7">
        <f>'Single Exponen'!C4</f>
        <v>25334.13</v>
      </c>
      <c r="D30" s="7">
        <f>'Single Exponen'!D4</f>
        <v>25675.906999999999</v>
      </c>
      <c r="E30" s="7">
        <f>'Single Exponen'!E4</f>
        <v>27046.006300000001</v>
      </c>
      <c r="F30" s="7">
        <f>'Single Exponen'!F4</f>
        <v>26727.56567</v>
      </c>
      <c r="G30" s="7">
        <f>'Single Exponen'!G4</f>
        <v>29776.499103000002</v>
      </c>
      <c r="H30" s="7">
        <f>'Single Exponen'!H4</f>
        <v>35172.519192700005</v>
      </c>
      <c r="I30" s="7">
        <f>'Single Exponen'!I4</f>
        <v>37060.587273430006</v>
      </c>
      <c r="J30" s="7">
        <f>'Single Exponen'!J4</f>
        <v>34480.978546087004</v>
      </c>
      <c r="K30" s="7">
        <f>'Single Exponen'!K4</f>
        <v>33454.380691478305</v>
      </c>
      <c r="L30" s="7">
        <f>'Single Exponen'!L4</f>
        <v>32795.002622330474</v>
      </c>
      <c r="M30" s="7">
        <f>'Single Exponen'!M4</f>
        <v>32900.772360097428</v>
      </c>
    </row>
    <row r="31" spans="1:14" x14ac:dyDescent="0.3">
      <c r="A31" s="7" t="str">
        <f>'Single Exponen'!A5</f>
        <v>Oil B 20 LT</v>
      </c>
      <c r="B31" s="7">
        <f>'Single Exponen'!B5</f>
        <v>4698.6499999999996</v>
      </c>
      <c r="C31" s="7">
        <f>'Single Exponen'!C5</f>
        <v>5093.2849999999999</v>
      </c>
      <c r="D31" s="7">
        <f>'Single Exponen'!D5</f>
        <v>5382.9014999999999</v>
      </c>
      <c r="E31" s="7">
        <f>'Single Exponen'!E5</f>
        <v>5498.9673499999999</v>
      </c>
      <c r="F31" s="7">
        <f>'Single Exponen'!F5</f>
        <v>9518.8306149999989</v>
      </c>
      <c r="G31" s="7">
        <f>'Single Exponen'!G5</f>
        <v>9261.2495534999998</v>
      </c>
      <c r="H31" s="7">
        <f>'Single Exponen'!H5</f>
        <v>9197.8955981500003</v>
      </c>
      <c r="I31" s="7">
        <f>'Single Exponen'!I5</f>
        <v>9997.506038335001</v>
      </c>
      <c r="J31" s="7">
        <f>'Single Exponen'!J5</f>
        <v>10721.955434501502</v>
      </c>
      <c r="K31" s="7">
        <f>'Single Exponen'!K5</f>
        <v>13166.479891051351</v>
      </c>
      <c r="L31" s="7">
        <f>'Single Exponen'!L5</f>
        <v>12504.171901946216</v>
      </c>
      <c r="M31" s="7">
        <f>'Single Exponen'!M5</f>
        <v>12093.908711751596</v>
      </c>
    </row>
    <row r="32" spans="1:14" x14ac:dyDescent="0.3">
      <c r="A32" s="7" t="str">
        <f>'Single Exponen'!A6</f>
        <v>Oil B 200 LT</v>
      </c>
      <c r="B32" s="7">
        <f>'Single Exponen'!B6</f>
        <v>1033.08</v>
      </c>
      <c r="C32" s="7">
        <f>'Single Exponen'!C6</f>
        <v>3477.5659999999998</v>
      </c>
      <c r="D32" s="7">
        <f>'Single Exponen'!D6</f>
        <v>5079.5114000000003</v>
      </c>
      <c r="E32" s="7">
        <f>'Single Exponen'!E6</f>
        <v>6457.1502600000003</v>
      </c>
      <c r="F32" s="7">
        <f>'Single Exponen'!F6</f>
        <v>8496.5952340000003</v>
      </c>
      <c r="G32" s="7">
        <f>'Single Exponen'!G6</f>
        <v>9393.7647106000004</v>
      </c>
      <c r="H32" s="7">
        <f>'Single Exponen'!H6</f>
        <v>13790.212239540002</v>
      </c>
      <c r="I32" s="7">
        <f>'Single Exponen'!I6</f>
        <v>15608.517015586003</v>
      </c>
      <c r="J32" s="7">
        <f>'Single Exponen'!J6</f>
        <v>16899.945314027402</v>
      </c>
      <c r="K32" s="7">
        <f>'Single Exponen'!K6</f>
        <v>20317.776782624664</v>
      </c>
      <c r="L32" s="7">
        <f>'Single Exponen'!L6</f>
        <v>23300.987104362201</v>
      </c>
      <c r="M32" s="7">
        <f>'Single Exponen'!M6</f>
        <v>25260.630393925981</v>
      </c>
    </row>
    <row r="33" spans="1:13" x14ac:dyDescent="0.3">
      <c r="B33" s="6">
        <f>SUM(B28:B32)</f>
        <v>501693.90000000008</v>
      </c>
      <c r="C33" s="6">
        <f t="shared" ref="C33:M33" si="2">SUM(C28:C32)</f>
        <v>499359.51500000001</v>
      </c>
      <c r="D33" s="6">
        <f t="shared" si="2"/>
        <v>496073.88250000001</v>
      </c>
      <c r="E33" s="6">
        <f t="shared" si="2"/>
        <v>504644.63725000009</v>
      </c>
      <c r="F33" s="6">
        <f t="shared" si="2"/>
        <v>484838.77752499998</v>
      </c>
      <c r="G33" s="6">
        <f t="shared" si="2"/>
        <v>483163.43677250005</v>
      </c>
      <c r="H33" s="6">
        <f t="shared" si="2"/>
        <v>497593.76609525003</v>
      </c>
      <c r="I33" s="6">
        <f t="shared" si="2"/>
        <v>510446.98948572512</v>
      </c>
      <c r="J33" s="6">
        <f t="shared" si="2"/>
        <v>517511.19553715264</v>
      </c>
      <c r="K33" s="6">
        <f t="shared" si="2"/>
        <v>530219.10198343743</v>
      </c>
      <c r="L33" s="6">
        <f t="shared" si="2"/>
        <v>535438.77078509377</v>
      </c>
      <c r="M33" s="6">
        <f t="shared" si="2"/>
        <v>534453.86270658439</v>
      </c>
    </row>
    <row r="34" spans="1:13" x14ac:dyDescent="0.3">
      <c r="A34" s="1" t="s">
        <v>73</v>
      </c>
    </row>
    <row r="35" spans="1:13" x14ac:dyDescent="0.3">
      <c r="A35" s="3">
        <f>'Double Exponen'!A1</f>
        <v>0.1</v>
      </c>
      <c r="B35" s="3" t="str">
        <f>'Double Exponen'!B1</f>
        <v>T1</v>
      </c>
      <c r="C35" s="3" t="str">
        <f>'Double Exponen'!C1</f>
        <v>T2</v>
      </c>
      <c r="D35" s="3" t="str">
        <f>'Double Exponen'!D1</f>
        <v>T3</v>
      </c>
      <c r="E35" s="3" t="str">
        <f>'Double Exponen'!E1</f>
        <v>T4</v>
      </c>
      <c r="F35" s="3" t="str">
        <f>'Double Exponen'!F1</f>
        <v>T5</v>
      </c>
      <c r="G35" s="3" t="str">
        <f>'Double Exponen'!G1</f>
        <v>T6</v>
      </c>
      <c r="H35" s="3" t="str">
        <f>'Double Exponen'!H1</f>
        <v>T7</v>
      </c>
      <c r="I35" s="3" t="str">
        <f>'Double Exponen'!I1</f>
        <v>T8</v>
      </c>
      <c r="J35" s="3" t="str">
        <f>'Double Exponen'!J1</f>
        <v>T9</v>
      </c>
      <c r="K35" s="3" t="str">
        <f>'Double Exponen'!K1</f>
        <v>T10</v>
      </c>
      <c r="L35" s="3" t="str">
        <f>'Double Exponen'!L1</f>
        <v>T11</v>
      </c>
      <c r="M35" s="3" t="str">
        <f>'Double Exponen'!M1</f>
        <v>T12</v>
      </c>
    </row>
    <row r="36" spans="1:13" x14ac:dyDescent="0.3">
      <c r="A36" s="3" t="str">
        <f>'Double Exponen'!A2</f>
        <v>Oil A 20 LT</v>
      </c>
      <c r="B36" s="7">
        <f>'Double Exponen'!B2</f>
        <v>12588.09</v>
      </c>
      <c r="C36" s="7">
        <f>'Double Exponen'!C2</f>
        <v>12510.106600000001</v>
      </c>
      <c r="D36" s="7">
        <f>'Double Exponen'!D2</f>
        <v>12532.097380000001</v>
      </c>
      <c r="E36" s="7">
        <f>'Double Exponen'!E2</f>
        <v>12535.598638000001</v>
      </c>
      <c r="F36" s="7">
        <f>'Double Exponen'!F2</f>
        <v>12504.035270600003</v>
      </c>
      <c r="G36" s="7">
        <f>'Double Exponen'!G2</f>
        <v>12435.282190300004</v>
      </c>
      <c r="H36" s="7">
        <f>'Double Exponen'!H2</f>
        <v>12437.893373354003</v>
      </c>
      <c r="I36" s="7">
        <f>'Double Exponen'!I2</f>
        <v>12426.076297894204</v>
      </c>
      <c r="J36" s="7">
        <f>'Double Exponen'!J2</f>
        <v>12401.139203792825</v>
      </c>
      <c r="K36" s="7">
        <f>'Double Exponen'!K2</f>
        <v>12340.99216553278</v>
      </c>
      <c r="L36" s="7">
        <f>'Double Exponen'!L2</f>
        <v>12350.362642886816</v>
      </c>
      <c r="M36" s="7">
        <f>'Double Exponen'!M2</f>
        <v>12353.503003114716</v>
      </c>
    </row>
    <row r="37" spans="1:13" x14ac:dyDescent="0.3">
      <c r="A37" s="3" t="str">
        <f>'Double Exponen'!A3</f>
        <v>Oil A 200 LT</v>
      </c>
      <c r="B37" s="7">
        <f>'Double Exponen'!B3</f>
        <v>459915.78</v>
      </c>
      <c r="C37" s="7">
        <f>'Double Exponen'!C3</f>
        <v>459288.82980000007</v>
      </c>
      <c r="D37" s="7">
        <f>'Double Exponen'!D3</f>
        <v>458080.50164000009</v>
      </c>
      <c r="E37" s="7">
        <f>'Double Exponen'!E3</f>
        <v>457579.99181400007</v>
      </c>
      <c r="F37" s="7">
        <f>'Double Exponen'!F3</f>
        <v>454609.57473680004</v>
      </c>
      <c r="G37" s="7">
        <f>'Double Exponen'!G3</f>
        <v>451440.15915690007</v>
      </c>
      <c r="H37" s="7">
        <f>'Double Exponen'!H3</f>
        <v>448993.31774561212</v>
      </c>
      <c r="I37" s="7">
        <f>'Double Exponen'!I3</f>
        <v>447640.05162501271</v>
      </c>
      <c r="J37" s="7">
        <f>'Double Exponen'!J3</f>
        <v>447199.20755107712</v>
      </c>
      <c r="K37" s="7">
        <f>'Double Exponen'!K3</f>
        <v>447627.36637567851</v>
      </c>
      <c r="L37" s="7">
        <f>'Double Exponen'!L3</f>
        <v>448305.02095984883</v>
      </c>
      <c r="M37" s="7">
        <f>'Double Exponen'!M3</f>
        <v>448656.19736342831</v>
      </c>
    </row>
    <row r="38" spans="1:13" x14ac:dyDescent="0.3">
      <c r="A38" s="3" t="str">
        <f>'Double Exponen'!A4</f>
        <v>Oil A 1000 LT</v>
      </c>
      <c r="B38" s="7">
        <f>'Double Exponen'!B4</f>
        <v>23458.3</v>
      </c>
      <c r="C38" s="7">
        <f>'Double Exponen'!C4</f>
        <v>23645.883000000002</v>
      </c>
      <c r="D38" s="7">
        <f>'Double Exponen'!D4</f>
        <v>23848.885400000003</v>
      </c>
      <c r="E38" s="7">
        <f>'Double Exponen'!E4</f>
        <v>24168.597490000004</v>
      </c>
      <c r="F38" s="7">
        <f>'Double Exponen'!F4</f>
        <v>24424.494308000005</v>
      </c>
      <c r="G38" s="7">
        <f>'Double Exponen'!G4</f>
        <v>24959.694787500004</v>
      </c>
      <c r="H38" s="7">
        <f>'Double Exponen'!H4</f>
        <v>25980.977228020005</v>
      </c>
      <c r="I38" s="7">
        <f>'Double Exponen'!I4</f>
        <v>27088.938232561006</v>
      </c>
      <c r="J38" s="7">
        <f>'Double Exponen'!J4</f>
        <v>27828.142263913607</v>
      </c>
      <c r="K38" s="7">
        <f>'Double Exponen'!K4</f>
        <v>28390.766106670075</v>
      </c>
      <c r="L38" s="7">
        <f>'Double Exponen'!L4</f>
        <v>28831.189758236116</v>
      </c>
      <c r="M38" s="7">
        <f>'Double Exponen'!M4</f>
        <v>29238.148018422249</v>
      </c>
    </row>
    <row r="39" spans="1:13" x14ac:dyDescent="0.3">
      <c r="A39" s="3" t="str">
        <f>'Double Exponen'!A5</f>
        <v>Oil B 20 LT</v>
      </c>
      <c r="B39" s="7">
        <f>'Double Exponen'!B5</f>
        <v>4698.6499999999996</v>
      </c>
      <c r="C39" s="7">
        <f>'Double Exponen'!C5</f>
        <v>4738.1134999999995</v>
      </c>
      <c r="D39" s="7">
        <f>'Double Exponen'!D5</f>
        <v>4802.5922999999993</v>
      </c>
      <c r="E39" s="7">
        <f>'Double Exponen'!E5</f>
        <v>4872.2298049999999</v>
      </c>
      <c r="F39" s="7">
        <f>'Double Exponen'!F5</f>
        <v>5336.8898859999999</v>
      </c>
      <c r="G39" s="7">
        <f>'Double Exponen'!G5</f>
        <v>5729.3258527500002</v>
      </c>
      <c r="H39" s="7">
        <f>'Double Exponen'!H5</f>
        <v>6076.1828272900002</v>
      </c>
      <c r="I39" s="7">
        <f>'Double Exponen'!I5</f>
        <v>6468.3151483945012</v>
      </c>
      <c r="J39" s="7">
        <f>'Double Exponen'!J5</f>
        <v>6893.6791770052014</v>
      </c>
      <c r="K39" s="7">
        <f>'Double Exponen'!K5</f>
        <v>7520.9592484098166</v>
      </c>
      <c r="L39" s="7">
        <f>'Double Exponen'!L5</f>
        <v>8019.2805137634568</v>
      </c>
      <c r="M39" s="7">
        <f>'Double Exponen'!M5</f>
        <v>8426.7433335622718</v>
      </c>
    </row>
    <row r="40" spans="1:13" x14ac:dyDescent="0.3">
      <c r="A40" s="3" t="str">
        <f>'Double Exponen'!A6</f>
        <v>Oil B 200 LT</v>
      </c>
      <c r="B40" s="7">
        <f>'Double Exponen'!B6</f>
        <v>1033.08</v>
      </c>
      <c r="C40" s="7">
        <f>'Double Exponen'!C6</f>
        <v>1277.5285999999999</v>
      </c>
      <c r="D40" s="7">
        <f>'Double Exponen'!D6</f>
        <v>1657.7268799999999</v>
      </c>
      <c r="E40" s="7">
        <f>'Double Exponen'!E6</f>
        <v>2137.669218</v>
      </c>
      <c r="F40" s="7">
        <f>'Double Exponen'!F6</f>
        <v>2773.5618196000005</v>
      </c>
      <c r="G40" s="7">
        <f>'Double Exponen'!G6</f>
        <v>3435.5821087000004</v>
      </c>
      <c r="H40" s="7">
        <f>'Double Exponen'!H6</f>
        <v>4471.0451217840009</v>
      </c>
      <c r="I40" s="7">
        <f>'Double Exponen'!I6</f>
        <v>5584.7923111642012</v>
      </c>
      <c r="J40" s="7">
        <f>'Double Exponen'!J6</f>
        <v>6716.3076114505211</v>
      </c>
      <c r="K40" s="7">
        <f>'Double Exponen'!K6</f>
        <v>8076.454528567936</v>
      </c>
      <c r="L40" s="7">
        <f>'Double Exponen'!L6</f>
        <v>9598.9077861473634</v>
      </c>
      <c r="M40" s="7">
        <f>'Double Exponen'!M6</f>
        <v>11165.080046925226</v>
      </c>
    </row>
    <row r="41" spans="1:13" x14ac:dyDescent="0.3">
      <c r="B41" s="6">
        <f>SUM(B36:B40)</f>
        <v>501693.90000000008</v>
      </c>
      <c r="C41" s="6">
        <f t="shared" ref="C41" si="3">SUM(C36:C40)</f>
        <v>501460.46150000003</v>
      </c>
      <c r="D41" s="6">
        <f t="shared" ref="D41" si="4">SUM(D36:D40)</f>
        <v>500921.8036000001</v>
      </c>
      <c r="E41" s="6">
        <f t="shared" ref="E41" si="5">SUM(E36:E40)</f>
        <v>501294.08696500014</v>
      </c>
      <c r="F41" s="6">
        <f t="shared" ref="F41" si="6">SUM(F36:F40)</f>
        <v>499648.55602100008</v>
      </c>
      <c r="G41" s="6">
        <f t="shared" ref="G41" si="7">SUM(G36:G40)</f>
        <v>498000.04409615009</v>
      </c>
      <c r="H41" s="6">
        <f t="shared" ref="H41" si="8">SUM(H36:H40)</f>
        <v>497959.41629606008</v>
      </c>
      <c r="I41" s="6">
        <f t="shared" ref="I41" si="9">SUM(I36:I40)</f>
        <v>499208.17361502658</v>
      </c>
      <c r="J41" s="6">
        <f t="shared" ref="J41" si="10">SUM(J36:J40)</f>
        <v>501038.47580723924</v>
      </c>
      <c r="K41" s="6">
        <f t="shared" ref="K41" si="11">SUM(K36:K40)</f>
        <v>503956.53842485917</v>
      </c>
      <c r="L41" s="6">
        <f t="shared" ref="L41" si="12">SUM(L36:L40)</f>
        <v>507104.76166088256</v>
      </c>
      <c r="M41" s="6">
        <f t="shared" ref="M41" si="13">SUM(M36:M40)</f>
        <v>509839.67176545277</v>
      </c>
    </row>
    <row r="42" spans="1:13" x14ac:dyDescent="0.3">
      <c r="A42" s="1" t="s">
        <v>74</v>
      </c>
    </row>
    <row r="43" spans="1:13" x14ac:dyDescent="0.3">
      <c r="A43" s="7">
        <f>'Konstanta a'!A1</f>
        <v>0.1</v>
      </c>
      <c r="B43" s="7" t="str">
        <f>'Konstanta a'!B1</f>
        <v>T1</v>
      </c>
      <c r="C43" s="7" t="str">
        <f>'Konstanta a'!C1</f>
        <v>T2</v>
      </c>
      <c r="D43" s="7" t="str">
        <f>'Konstanta a'!D1</f>
        <v>T3</v>
      </c>
      <c r="E43" s="7" t="str">
        <f>'Konstanta a'!E1</f>
        <v>T4</v>
      </c>
      <c r="F43" s="7" t="str">
        <f>'Konstanta a'!F1</f>
        <v>T5</v>
      </c>
      <c r="G43" s="7" t="str">
        <f>'Konstanta a'!G1</f>
        <v>T6</v>
      </c>
      <c r="H43" s="7" t="str">
        <f>'Konstanta a'!H1</f>
        <v>T7</v>
      </c>
      <c r="I43" s="7" t="str">
        <f>'Konstanta a'!I1</f>
        <v>T8</v>
      </c>
      <c r="J43" s="7" t="str">
        <f>'Konstanta a'!J1</f>
        <v>T9</v>
      </c>
      <c r="K43" s="7" t="str">
        <f>'Konstanta a'!K1</f>
        <v>T10</v>
      </c>
      <c r="L43" s="7" t="str">
        <f>'Konstanta a'!L1</f>
        <v>T11</v>
      </c>
      <c r="M43" s="7" t="str">
        <f>'Konstanta a'!M1</f>
        <v>T12</v>
      </c>
    </row>
    <row r="44" spans="1:13" x14ac:dyDescent="0.3">
      <c r="A44" s="7" t="str">
        <f>'Konstanta a'!A2</f>
        <v>Oil A 20 LT</v>
      </c>
      <c r="B44" s="7">
        <f>'Konstanta a'!B2</f>
        <v>12588.09</v>
      </c>
      <c r="C44" s="7">
        <f>'Konstanta a'!C2</f>
        <v>11106.405400000001</v>
      </c>
      <c r="D44" s="7">
        <f>'Konstanta a'!D2</f>
        <v>12927.931420000003</v>
      </c>
      <c r="E44" s="7">
        <f>'Konstanta a'!E2</f>
        <v>12598.621282000002</v>
      </c>
      <c r="F44" s="7">
        <f>'Konstanta a'!F2</f>
        <v>11935.894657400002</v>
      </c>
      <c r="G44" s="7">
        <f>'Konstanta a'!G2</f>
        <v>11197.726744900003</v>
      </c>
      <c r="H44" s="7">
        <f>'Konstanta a'!H2</f>
        <v>12484.894668326004</v>
      </c>
      <c r="I44" s="7">
        <f>'Konstanta a'!I2</f>
        <v>12213.368939617805</v>
      </c>
      <c r="J44" s="7">
        <f>'Konstanta a'!J2</f>
        <v>11952.271509967983</v>
      </c>
      <c r="K44" s="7">
        <f>'Konstanta a'!K2</f>
        <v>11258.34547685195</v>
      </c>
      <c r="L44" s="7">
        <f>'Konstanta a'!L2</f>
        <v>12519.031235259445</v>
      </c>
      <c r="M44" s="7">
        <f>'Konstanta a'!M2</f>
        <v>12410.02948721692</v>
      </c>
    </row>
    <row r="45" spans="1:13" x14ac:dyDescent="0.3">
      <c r="A45" s="7" t="str">
        <f>'Konstanta a'!A3</f>
        <v>Oil A 200 LT</v>
      </c>
      <c r="B45" s="7">
        <f>'Konstanta a'!B3</f>
        <v>459915.78</v>
      </c>
      <c r="C45" s="7">
        <f>'Konstanta a'!C3</f>
        <v>448003.72620000003</v>
      </c>
      <c r="D45" s="7">
        <f>'Konstanta a'!D3</f>
        <v>436330.59475999995</v>
      </c>
      <c r="E45" s="7">
        <f>'Konstanta a'!E3</f>
        <v>448570.814946</v>
      </c>
      <c r="F45" s="7">
        <f>'Konstanta a'!F3</f>
        <v>401142.06734720001</v>
      </c>
      <c r="G45" s="7">
        <f>'Konstanta a'!G3</f>
        <v>394390.67871870002</v>
      </c>
      <c r="H45" s="7">
        <f>'Konstanta a'!H3</f>
        <v>404950.17234242801</v>
      </c>
      <c r="I45" s="7">
        <f>'Konstanta a'!I3</f>
        <v>423281.26145422348</v>
      </c>
      <c r="J45" s="7">
        <f>'Konstanta a'!J3</f>
        <v>439264.01422023552</v>
      </c>
      <c r="K45" s="7">
        <f>'Konstanta a'!K3</f>
        <v>455334.22521850298</v>
      </c>
      <c r="L45" s="7">
        <f>'Konstanta a'!L3</f>
        <v>460502.80347491457</v>
      </c>
      <c r="M45" s="7">
        <f>'Konstanta a'!M3</f>
        <v>454977.37262785877</v>
      </c>
    </row>
    <row r="46" spans="1:13" x14ac:dyDescent="0.3">
      <c r="A46" s="7" t="str">
        <f>'Konstanta a'!A4</f>
        <v>Oil A 1000 LT</v>
      </c>
      <c r="B46" s="7">
        <f>'Konstanta a'!B4</f>
        <v>23458.3</v>
      </c>
      <c r="C46" s="7">
        <f>'Konstanta a'!C4</f>
        <v>27022.377</v>
      </c>
      <c r="D46" s="7">
        <f>'Konstanta a'!D4</f>
        <v>27502.928599999996</v>
      </c>
      <c r="E46" s="7">
        <f>'Konstanta a'!E4</f>
        <v>29923.415109999998</v>
      </c>
      <c r="F46" s="7">
        <f>'Konstanta a'!F4</f>
        <v>29030.637031999995</v>
      </c>
      <c r="G46" s="7">
        <f>'Konstanta a'!G4</f>
        <v>34593.3034185</v>
      </c>
      <c r="H46" s="7">
        <f>'Konstanta a'!H4</f>
        <v>44364.061157380005</v>
      </c>
      <c r="I46" s="7">
        <f>'Konstanta a'!I4</f>
        <v>47032.236314299007</v>
      </c>
      <c r="J46" s="7">
        <f>'Konstanta a'!J4</f>
        <v>41133.814828260402</v>
      </c>
      <c r="K46" s="7">
        <f>'Konstanta a'!K4</f>
        <v>38517.995276286536</v>
      </c>
      <c r="L46" s="7">
        <f>'Konstanta a'!L4</f>
        <v>36758.815486424835</v>
      </c>
      <c r="M46" s="7">
        <f>'Konstanta a'!M4</f>
        <v>36563.39670177261</v>
      </c>
    </row>
    <row r="47" spans="1:13" x14ac:dyDescent="0.3">
      <c r="A47" s="7" t="str">
        <f>'Konstanta a'!A5</f>
        <v>Oil B 20 LT</v>
      </c>
      <c r="B47" s="7">
        <f>'Konstanta a'!B5</f>
        <v>4698.6499999999996</v>
      </c>
      <c r="C47" s="7">
        <f>'Konstanta a'!C5</f>
        <v>5448.4565000000002</v>
      </c>
      <c r="D47" s="7">
        <f>'Konstanta a'!D5</f>
        <v>5963.2107000000005</v>
      </c>
      <c r="E47" s="7">
        <f>'Konstanta a'!E5</f>
        <v>6125.7048949999999</v>
      </c>
      <c r="F47" s="7">
        <f>'Konstanta a'!F5</f>
        <v>13700.771343999997</v>
      </c>
      <c r="G47" s="7">
        <f>'Konstanta a'!G5</f>
        <v>12793.173254249999</v>
      </c>
      <c r="H47" s="7">
        <f>'Konstanta a'!H5</f>
        <v>12319.60836901</v>
      </c>
      <c r="I47" s="7">
        <f>'Konstanta a'!I5</f>
        <v>13526.696928275502</v>
      </c>
      <c r="J47" s="7">
        <f>'Konstanta a'!J5</f>
        <v>14550.231691997804</v>
      </c>
      <c r="K47" s="7">
        <f>'Konstanta a'!K5</f>
        <v>18812.000533692884</v>
      </c>
      <c r="L47" s="7">
        <f>'Konstanta a'!L5</f>
        <v>16989.063290128975</v>
      </c>
      <c r="M47" s="7">
        <f>'Konstanta a'!M5</f>
        <v>15761.074089940919</v>
      </c>
    </row>
    <row r="48" spans="1:13" x14ac:dyDescent="0.3">
      <c r="A48" s="7" t="str">
        <f>'Konstanta a'!A6</f>
        <v>Oil B 200 LT</v>
      </c>
      <c r="B48" s="7">
        <f>'Konstanta a'!B6</f>
        <v>1033.08</v>
      </c>
      <c r="C48" s="7">
        <f>'Konstanta a'!C6</f>
        <v>5677.6034</v>
      </c>
      <c r="D48" s="7">
        <f>'Konstanta a'!D6</f>
        <v>8501.2959200000005</v>
      </c>
      <c r="E48" s="7">
        <f>'Konstanta a'!E6</f>
        <v>10776.631302000002</v>
      </c>
      <c r="F48" s="7">
        <f>'Konstanta a'!F6</f>
        <v>14219.628648400001</v>
      </c>
      <c r="G48" s="7">
        <f>'Konstanta a'!G6</f>
        <v>15351.9473125</v>
      </c>
      <c r="H48" s="7">
        <f>'Konstanta a'!H6</f>
        <v>23109.379357296002</v>
      </c>
      <c r="I48" s="7">
        <f>'Konstanta a'!I6</f>
        <v>25632.241720007805</v>
      </c>
      <c r="J48" s="7">
        <f>'Konstanta a'!J6</f>
        <v>27083.583016604283</v>
      </c>
      <c r="K48" s="7">
        <f>'Konstanta a'!K6</f>
        <v>32559.099036681393</v>
      </c>
      <c r="L48" s="7">
        <f>'Konstanta a'!L6</f>
        <v>37003.066422577038</v>
      </c>
      <c r="M48" s="7">
        <f>'Konstanta a'!M6</f>
        <v>39356.180740926735</v>
      </c>
    </row>
    <row r="50" spans="1:13" x14ac:dyDescent="0.3">
      <c r="A50" s="1" t="s">
        <v>75</v>
      </c>
    </row>
    <row r="51" spans="1:13" x14ac:dyDescent="0.3">
      <c r="A51" s="3">
        <f>'Konstanta b'!A1</f>
        <v>0.1</v>
      </c>
      <c r="B51" s="3" t="str">
        <f>'Konstanta b'!B1</f>
        <v>T1</v>
      </c>
      <c r="C51" s="3" t="str">
        <f>'Konstanta b'!C1</f>
        <v>T2</v>
      </c>
      <c r="D51" s="3" t="str">
        <f>'Konstanta b'!D1</f>
        <v>T3</v>
      </c>
      <c r="E51" s="3" t="str">
        <f>'Konstanta b'!E1</f>
        <v>T4</v>
      </c>
      <c r="F51" s="3" t="str">
        <f>'Konstanta b'!F1</f>
        <v>T5</v>
      </c>
      <c r="G51" s="3" t="str">
        <f>'Konstanta b'!G1</f>
        <v>T6</v>
      </c>
      <c r="H51" s="3" t="str">
        <f>'Konstanta b'!H1</f>
        <v>T7</v>
      </c>
      <c r="I51" s="3" t="str">
        <f>'Konstanta b'!I1</f>
        <v>T8</v>
      </c>
      <c r="J51" s="3" t="str">
        <f>'Konstanta b'!J1</f>
        <v>T9</v>
      </c>
      <c r="K51" s="3" t="str">
        <f>'Konstanta b'!K1</f>
        <v>T10</v>
      </c>
      <c r="L51" s="3" t="str">
        <f>'Konstanta b'!L1</f>
        <v>T11</v>
      </c>
      <c r="M51" s="3" t="str">
        <f>'Konstanta b'!M1</f>
        <v>T12</v>
      </c>
    </row>
    <row r="52" spans="1:13" x14ac:dyDescent="0.3">
      <c r="A52" s="3" t="str">
        <f>'Konstanta b'!A2</f>
        <v>Oil A 20 LT</v>
      </c>
      <c r="B52" s="7">
        <f>'Konstanta b'!B2</f>
        <v>0</v>
      </c>
      <c r="C52" s="7">
        <f>'Konstanta b'!C2</f>
        <v>-77.983399999999975</v>
      </c>
      <c r="D52" s="7">
        <f>'Konstanta b'!D2</f>
        <v>21.990780000000086</v>
      </c>
      <c r="E52" s="7">
        <f>'Konstanta b'!E2</f>
        <v>3.5012580000000324</v>
      </c>
      <c r="F52" s="7">
        <f>'Konstanta b'!F2</f>
        <v>-31.563367400000065</v>
      </c>
      <c r="G52" s="7">
        <f>'Konstanta b'!G2</f>
        <v>-68.753080300000065</v>
      </c>
      <c r="H52" s="7">
        <f>'Konstanta b'!H2</f>
        <v>2.6111830540000183</v>
      </c>
      <c r="I52" s="7">
        <f>'Konstanta b'!I2</f>
        <v>-11.817075459799931</v>
      </c>
      <c r="J52" s="7">
        <f>'Konstanta b'!J2</f>
        <v>-24.937094101380154</v>
      </c>
      <c r="K52" s="7">
        <f>'Konstanta b'!K2</f>
        <v>-60.147038260046131</v>
      </c>
      <c r="L52" s="7">
        <f>'Konstanta b'!L2</f>
        <v>9.3704773540349482</v>
      </c>
      <c r="M52" s="7">
        <f>'Konstanta b'!M2</f>
        <v>3.1403602279001968</v>
      </c>
    </row>
    <row r="53" spans="1:13" x14ac:dyDescent="0.3">
      <c r="A53" s="3" t="str">
        <f>'Konstanta b'!A3</f>
        <v>Oil A 200 LT</v>
      </c>
      <c r="B53" s="7">
        <f>'Konstanta b'!B3</f>
        <v>0</v>
      </c>
      <c r="C53" s="7">
        <f>'Konstanta b'!C3</f>
        <v>-626.95020000000181</v>
      </c>
      <c r="D53" s="7">
        <f>'Konstanta b'!D3</f>
        <v>-1208.328160000008</v>
      </c>
      <c r="E53" s="7">
        <f>'Konstanta b'!E3</f>
        <v>-500.50982600000378</v>
      </c>
      <c r="F53" s="7">
        <f>'Konstanta b'!F3</f>
        <v>-2970.4170772000025</v>
      </c>
      <c r="G53" s="7">
        <f>'Konstanta b'!G3</f>
        <v>-3169.4155799000036</v>
      </c>
      <c r="H53" s="7">
        <f>'Konstanta b'!H3</f>
        <v>-2446.8414112880064</v>
      </c>
      <c r="I53" s="7">
        <f>'Konstanta b'!I3</f>
        <v>-1353.2661205994018</v>
      </c>
      <c r="J53" s="7">
        <f>'Konstanta b'!J3</f>
        <v>-440.84407393564476</v>
      </c>
      <c r="K53" s="7">
        <f>'Konstanta b'!K3</f>
        <v>428.15882460135941</v>
      </c>
      <c r="L53" s="7">
        <f>'Konstanta b'!L3</f>
        <v>677.65458417031914</v>
      </c>
      <c r="M53" s="7">
        <f>'Konstanta b'!M3</f>
        <v>351.17640357947033</v>
      </c>
    </row>
    <row r="54" spans="1:13" x14ac:dyDescent="0.3">
      <c r="A54" s="3" t="str">
        <f>'Konstanta b'!A4</f>
        <v>Oil A 1000 LT</v>
      </c>
      <c r="B54" s="7">
        <f>'Konstanta b'!B4</f>
        <v>0</v>
      </c>
      <c r="C54" s="7">
        <f>'Konstanta b'!C4</f>
        <v>187.58299999999994</v>
      </c>
      <c r="D54" s="7">
        <f>'Konstanta b'!D4</f>
        <v>203.00239999999962</v>
      </c>
      <c r="E54" s="7">
        <f>'Konstanta b'!E4</f>
        <v>319.71208999999971</v>
      </c>
      <c r="F54" s="7">
        <f>'Konstanta b'!F4</f>
        <v>255.89681799999948</v>
      </c>
      <c r="G54" s="7">
        <f>'Konstanta b'!G4</f>
        <v>535.2004794999998</v>
      </c>
      <c r="H54" s="7">
        <f>'Konstanta b'!H4</f>
        <v>1021.2824405200001</v>
      </c>
      <c r="I54" s="7">
        <f>'Konstanta b'!I4</f>
        <v>1107.9610045410002</v>
      </c>
      <c r="J54" s="7">
        <f>'Konstanta b'!J4</f>
        <v>739.20403135259971</v>
      </c>
      <c r="K54" s="7">
        <f>'Konstanta b'!K4</f>
        <v>562.62384275647014</v>
      </c>
      <c r="L54" s="7">
        <f>'Konstanta b'!L4</f>
        <v>440.42365156603978</v>
      </c>
      <c r="M54" s="7">
        <f>'Konstanta b'!M4</f>
        <v>406.95826018613099</v>
      </c>
    </row>
    <row r="55" spans="1:13" x14ac:dyDescent="0.3">
      <c r="A55" s="3" t="str">
        <f>'Konstanta b'!A5</f>
        <v>Oil B 20 LT</v>
      </c>
      <c r="B55" s="7">
        <f>'Konstanta b'!B5</f>
        <v>0</v>
      </c>
      <c r="C55" s="7">
        <f>'Konstanta b'!C5</f>
        <v>39.463500000000046</v>
      </c>
      <c r="D55" s="7">
        <f>'Konstanta b'!D5</f>
        <v>64.478800000000078</v>
      </c>
      <c r="E55" s="7">
        <f>'Konstanta b'!E5</f>
        <v>69.637505000000004</v>
      </c>
      <c r="F55" s="7">
        <f>'Konstanta b'!F5</f>
        <v>464.66008099999993</v>
      </c>
      <c r="G55" s="7">
        <f>'Konstanta b'!G5</f>
        <v>392.43596674999998</v>
      </c>
      <c r="H55" s="7">
        <f>'Konstanta b'!H5</f>
        <v>346.85697454000001</v>
      </c>
      <c r="I55" s="7">
        <f>'Konstanta b'!I5</f>
        <v>392.13232110450002</v>
      </c>
      <c r="J55" s="7">
        <f>'Konstanta b'!J5</f>
        <v>425.36402861070013</v>
      </c>
      <c r="K55" s="7">
        <f>'Konstanta b'!K5</f>
        <v>627.280071404615</v>
      </c>
      <c r="L55" s="7">
        <f>'Konstanta b'!L5</f>
        <v>498.32126535363994</v>
      </c>
      <c r="M55" s="7">
        <f>'Konstanta b'!M5</f>
        <v>407.46281979881377</v>
      </c>
    </row>
    <row r="56" spans="1:13" x14ac:dyDescent="0.3">
      <c r="A56" s="3" t="str">
        <f>'Konstanta b'!A6</f>
        <v>Oil B 200 LT</v>
      </c>
      <c r="B56" s="7">
        <f>'Konstanta b'!B6</f>
        <v>0</v>
      </c>
      <c r="C56" s="7">
        <f>'Konstanta b'!C6</f>
        <v>244.44860000000003</v>
      </c>
      <c r="D56" s="7">
        <f>'Konstanta b'!D6</f>
        <v>380.19828000000007</v>
      </c>
      <c r="E56" s="7">
        <f>'Konstanta b'!E6</f>
        <v>479.94233800000006</v>
      </c>
      <c r="F56" s="7">
        <f>'Konstanta b'!F6</f>
        <v>635.89260160000003</v>
      </c>
      <c r="G56" s="7">
        <f>'Konstanta b'!G6</f>
        <v>662.02028910000001</v>
      </c>
      <c r="H56" s="7">
        <f>'Konstanta b'!H6</f>
        <v>1035.4630130840003</v>
      </c>
      <c r="I56" s="7">
        <f>'Konstanta b'!I6</f>
        <v>1113.7471893802003</v>
      </c>
      <c r="J56" s="7">
        <f>'Konstanta b'!J6</f>
        <v>1131.5153002863203</v>
      </c>
      <c r="K56" s="7">
        <f>'Konstanta b'!K6</f>
        <v>1360.1469171174142</v>
      </c>
      <c r="L56" s="7">
        <f>'Konstanta b'!L6</f>
        <v>1522.4532575794265</v>
      </c>
      <c r="M56" s="7">
        <f>'Konstanta b'!M6</f>
        <v>1566.1722607778618</v>
      </c>
    </row>
    <row r="58" spans="1:13" x14ac:dyDescent="0.3">
      <c r="A58" s="1" t="s">
        <v>76</v>
      </c>
    </row>
    <row r="59" spans="1:13" x14ac:dyDescent="0.3">
      <c r="A59" s="7">
        <f>Peramalan!A1</f>
        <v>0.1</v>
      </c>
      <c r="B59" s="7"/>
      <c r="C59" s="7" t="str">
        <f>Peramalan!C1</f>
        <v>T1</v>
      </c>
      <c r="D59" s="7" t="str">
        <f>Peramalan!D1</f>
        <v>T2</v>
      </c>
      <c r="E59" s="7" t="str">
        <f>Peramalan!E1</f>
        <v>T3</v>
      </c>
      <c r="F59" s="7" t="str">
        <f>Peramalan!F1</f>
        <v>T4</v>
      </c>
      <c r="G59" s="7" t="str">
        <f>Peramalan!G1</f>
        <v>T5</v>
      </c>
      <c r="H59" s="7" t="str">
        <f>Peramalan!H1</f>
        <v>T6</v>
      </c>
      <c r="I59" s="7" t="str">
        <f>Peramalan!I1</f>
        <v>T7</v>
      </c>
      <c r="J59" s="7" t="str">
        <f>Peramalan!J1</f>
        <v>T8</v>
      </c>
      <c r="K59" s="7" t="str">
        <f>Peramalan!K1</f>
        <v>T9</v>
      </c>
      <c r="L59" s="7" t="str">
        <f>Peramalan!L1</f>
        <v>T10</v>
      </c>
      <c r="M59" s="7" t="str">
        <f>Peramalan!M1</f>
        <v>T11</v>
      </c>
    </row>
    <row r="60" spans="1:13" x14ac:dyDescent="0.3">
      <c r="A60" s="7" t="str">
        <f>Peramalan!A2</f>
        <v>Oil A 20 LT</v>
      </c>
      <c r="B60" s="7">
        <f>Peramalan!B2</f>
        <v>0</v>
      </c>
      <c r="C60" s="7">
        <f>Peramalan!C2</f>
        <v>12588.09</v>
      </c>
      <c r="D60" s="7">
        <f>Peramalan!D2</f>
        <v>11028.422000000002</v>
      </c>
      <c r="E60" s="7">
        <f>Peramalan!E2</f>
        <v>12949.922200000003</v>
      </c>
      <c r="F60" s="7">
        <f>Peramalan!F2</f>
        <v>12602.122540000002</v>
      </c>
      <c r="G60" s="7">
        <f>Peramalan!G2</f>
        <v>11904.331290000002</v>
      </c>
      <c r="H60" s="7">
        <f>Peramalan!H2</f>
        <v>11128.973664600002</v>
      </c>
      <c r="I60" s="7">
        <f>Peramalan!I2</f>
        <v>12487.505851380003</v>
      </c>
      <c r="J60" s="7">
        <f>Peramalan!J2</f>
        <v>12201.551864158006</v>
      </c>
      <c r="K60" s="7">
        <f>Peramalan!K2</f>
        <v>11927.334415866602</v>
      </c>
      <c r="L60" s="7">
        <f>Peramalan!L2</f>
        <v>11198.198438591904</v>
      </c>
      <c r="M60" s="7">
        <f>Peramalan!M2</f>
        <v>12528.40171261348</v>
      </c>
    </row>
    <row r="61" spans="1:13" x14ac:dyDescent="0.3">
      <c r="A61" s="7" t="str">
        <f>Peramalan!A3</f>
        <v>Oil A 200 LT</v>
      </c>
      <c r="B61" s="7">
        <f>Peramalan!B3</f>
        <v>0</v>
      </c>
      <c r="C61" s="7">
        <f>Peramalan!C3</f>
        <v>459915.78</v>
      </c>
      <c r="D61" s="7">
        <f>Peramalan!D3</f>
        <v>447376.77600000001</v>
      </c>
      <c r="E61" s="7">
        <f>Peramalan!E3</f>
        <v>435122.26659999992</v>
      </c>
      <c r="F61" s="7">
        <f>Peramalan!F3</f>
        <v>448070.30511999998</v>
      </c>
      <c r="G61" s="7">
        <f>Peramalan!G3</f>
        <v>398171.65026999998</v>
      </c>
      <c r="H61" s="7">
        <f>Peramalan!H3</f>
        <v>391221.26313879999</v>
      </c>
      <c r="I61" s="7">
        <f>Peramalan!I3</f>
        <v>402503.33093113999</v>
      </c>
      <c r="J61" s="7">
        <f>Peramalan!J3</f>
        <v>421927.99533362407</v>
      </c>
      <c r="K61" s="7">
        <f>Peramalan!K3</f>
        <v>438823.17014629988</v>
      </c>
      <c r="L61" s="7">
        <f>Peramalan!L3</f>
        <v>455762.38404310436</v>
      </c>
      <c r="M61" s="7">
        <f>Peramalan!M3</f>
        <v>461180.45805908489</v>
      </c>
    </row>
    <row r="62" spans="1:13" x14ac:dyDescent="0.3">
      <c r="A62" s="7" t="str">
        <f>Peramalan!A4</f>
        <v>Oil A 1000 LT</v>
      </c>
      <c r="B62" s="7">
        <f>Peramalan!B4</f>
        <v>0</v>
      </c>
      <c r="C62" s="7">
        <f>Peramalan!C4</f>
        <v>23458.3</v>
      </c>
      <c r="D62" s="7">
        <f>Peramalan!D4</f>
        <v>27209.96</v>
      </c>
      <c r="E62" s="7">
        <f>Peramalan!E4</f>
        <v>27705.930999999997</v>
      </c>
      <c r="F62" s="7">
        <f>Peramalan!F4</f>
        <v>30243.127199999999</v>
      </c>
      <c r="G62" s="7">
        <f>Peramalan!G4</f>
        <v>29286.533849999996</v>
      </c>
      <c r="H62" s="7">
        <f>Peramalan!H4</f>
        <v>35128.503898000003</v>
      </c>
      <c r="I62" s="7">
        <f>Peramalan!I4</f>
        <v>45385.343597900006</v>
      </c>
      <c r="J62" s="7">
        <f>Peramalan!J4</f>
        <v>48140.197318840008</v>
      </c>
      <c r="K62" s="7">
        <f>Peramalan!K4</f>
        <v>41873.018859613003</v>
      </c>
      <c r="L62" s="7">
        <f>Peramalan!L4</f>
        <v>39080.619119043004</v>
      </c>
      <c r="M62" s="7">
        <f>Peramalan!M4</f>
        <v>37199.239137990873</v>
      </c>
    </row>
    <row r="63" spans="1:13" x14ac:dyDescent="0.3">
      <c r="A63" s="7" t="str">
        <f>Peramalan!A5</f>
        <v>Oil B 20 LT</v>
      </c>
      <c r="B63" s="7">
        <f>Peramalan!B5</f>
        <v>0</v>
      </c>
      <c r="C63" s="7">
        <f>Peramalan!C5</f>
        <v>4698.6499999999996</v>
      </c>
      <c r="D63" s="7">
        <f>Peramalan!D5</f>
        <v>5487.92</v>
      </c>
      <c r="E63" s="7">
        <f>Peramalan!E5</f>
        <v>6027.6895000000004</v>
      </c>
      <c r="F63" s="7">
        <f>Peramalan!F5</f>
        <v>6195.3423999999995</v>
      </c>
      <c r="G63" s="7">
        <f>Peramalan!G5</f>
        <v>14165.431424999997</v>
      </c>
      <c r="H63" s="7">
        <f>Peramalan!H5</f>
        <v>13185.609220999999</v>
      </c>
      <c r="I63" s="7">
        <f>Peramalan!I5</f>
        <v>12666.46534355</v>
      </c>
      <c r="J63" s="7">
        <f>Peramalan!J5</f>
        <v>13918.829249380002</v>
      </c>
      <c r="K63" s="7">
        <f>Peramalan!K5</f>
        <v>14975.595720608504</v>
      </c>
      <c r="L63" s="7">
        <f>Peramalan!L5</f>
        <v>19439.280605097498</v>
      </c>
      <c r="M63" s="7">
        <f>Peramalan!M5</f>
        <v>17487.384555482615</v>
      </c>
    </row>
    <row r="64" spans="1:13" x14ac:dyDescent="0.3">
      <c r="A64" s="7" t="str">
        <f>Peramalan!A6</f>
        <v>Oil B 200 LT</v>
      </c>
      <c r="B64" s="7">
        <f>Peramalan!B6</f>
        <v>0</v>
      </c>
      <c r="C64" s="7">
        <f>Peramalan!C6</f>
        <v>1033.08</v>
      </c>
      <c r="D64" s="7">
        <f>Peramalan!D6</f>
        <v>5922.0519999999997</v>
      </c>
      <c r="E64" s="7">
        <f>Peramalan!E6</f>
        <v>8881.494200000001</v>
      </c>
      <c r="F64" s="7">
        <f>Peramalan!F6</f>
        <v>11256.573640000002</v>
      </c>
      <c r="G64" s="7">
        <f>Peramalan!G6</f>
        <v>14855.521250000002</v>
      </c>
      <c r="H64" s="7">
        <f>Peramalan!H6</f>
        <v>16013.967601600001</v>
      </c>
      <c r="I64" s="7">
        <f>Peramalan!I6</f>
        <v>24144.842370380004</v>
      </c>
      <c r="J64" s="7">
        <f>Peramalan!J6</f>
        <v>26745.988909388005</v>
      </c>
      <c r="K64" s="7">
        <f>Peramalan!K6</f>
        <v>28215.098316890602</v>
      </c>
      <c r="L64" s="7">
        <f>Peramalan!L6</f>
        <v>33919.245953798811</v>
      </c>
      <c r="M64" s="7">
        <f>Peramalan!M6</f>
        <v>38525.519680156467</v>
      </c>
    </row>
    <row r="65" spans="1:13" x14ac:dyDescent="0.3">
      <c r="B65" s="6">
        <f>SUM(B60:B64)</f>
        <v>0</v>
      </c>
      <c r="C65" s="6">
        <f t="shared" ref="C65" si="14">SUM(C60:C64)</f>
        <v>501693.90000000008</v>
      </c>
      <c r="D65" s="6">
        <f t="shared" ref="D65" si="15">SUM(D60:D64)</f>
        <v>497025.13000000006</v>
      </c>
      <c r="E65" s="6">
        <f t="shared" ref="E65" si="16">SUM(E60:E64)</f>
        <v>490687.30349999992</v>
      </c>
      <c r="F65" s="6">
        <f t="shared" ref="F65" si="17">SUM(F60:F64)</f>
        <v>508367.47090000001</v>
      </c>
      <c r="G65" s="6">
        <f t="shared" ref="G65" si="18">SUM(G60:G64)</f>
        <v>468383.468085</v>
      </c>
      <c r="H65" s="6">
        <f t="shared" ref="H65" si="19">SUM(H60:H64)</f>
        <v>466678.31752399995</v>
      </c>
      <c r="I65" s="6">
        <f t="shared" ref="I65" si="20">SUM(I60:I64)</f>
        <v>497187.48809435003</v>
      </c>
      <c r="J65" s="6">
        <f t="shared" ref="J65" si="21">SUM(J60:J64)</f>
        <v>522934.5626753901</v>
      </c>
      <c r="K65" s="6">
        <f t="shared" ref="K65" si="22">SUM(K60:K64)</f>
        <v>535814.21745927853</v>
      </c>
      <c r="L65" s="6">
        <f t="shared" ref="L65" si="23">SUM(L60:L64)</f>
        <v>559399.72815963556</v>
      </c>
      <c r="M65" s="6">
        <f t="shared" ref="M65" si="24">SUM(M60:M64)</f>
        <v>566921.00314532837</v>
      </c>
    </row>
    <row r="66" spans="1:13" x14ac:dyDescent="0.3">
      <c r="A66" s="1" t="s">
        <v>77</v>
      </c>
    </row>
    <row r="67" spans="1:13" x14ac:dyDescent="0.3">
      <c r="A67" s="7">
        <f>'triple exponen'!A1</f>
        <v>0.1</v>
      </c>
      <c r="B67" s="7" t="str">
        <f>'triple exponen'!B1</f>
        <v>T1</v>
      </c>
      <c r="C67" s="7" t="str">
        <f>'triple exponen'!C1</f>
        <v>T2</v>
      </c>
      <c r="D67" s="7" t="str">
        <f>'triple exponen'!D1</f>
        <v>T3</v>
      </c>
      <c r="E67" s="7" t="str">
        <f>'triple exponen'!E1</f>
        <v>T4</v>
      </c>
      <c r="F67" s="7" t="str">
        <f>'triple exponen'!F1</f>
        <v>T5</v>
      </c>
      <c r="G67" s="7" t="str">
        <f>'triple exponen'!G1</f>
        <v>T6</v>
      </c>
      <c r="H67" s="7" t="str">
        <f>'triple exponen'!H1</f>
        <v>T7</v>
      </c>
      <c r="I67" s="7" t="str">
        <f>'triple exponen'!I1</f>
        <v>T8</v>
      </c>
      <c r="J67" s="7" t="str">
        <f>'triple exponen'!J1</f>
        <v>T9</v>
      </c>
      <c r="K67" s="7" t="str">
        <f>'triple exponen'!K1</f>
        <v>T10</v>
      </c>
      <c r="L67" s="7" t="str">
        <f>'triple exponen'!L1</f>
        <v>T11</v>
      </c>
      <c r="M67" s="7" t="str">
        <f>'triple exponen'!M1</f>
        <v>T12</v>
      </c>
    </row>
    <row r="68" spans="1:13" x14ac:dyDescent="0.3">
      <c r="A68" s="7" t="str">
        <f>'triple exponen'!A2</f>
        <v>Oil A 20 LT</v>
      </c>
      <c r="B68" s="7">
        <f>'triple exponen'!B2</f>
        <v>12588.09</v>
      </c>
      <c r="C68" s="7">
        <f>'triple exponen'!C2</f>
        <v>12580.291660000001</v>
      </c>
      <c r="D68" s="7">
        <f>'triple exponen'!D2</f>
        <v>12575.472232</v>
      </c>
      <c r="E68" s="7">
        <f>'triple exponen'!E2</f>
        <v>12571.484872600002</v>
      </c>
      <c r="F68" s="7">
        <f>'triple exponen'!F2</f>
        <v>12564.739912400002</v>
      </c>
      <c r="G68" s="7">
        <f>'triple exponen'!G2</f>
        <v>12551.794140190003</v>
      </c>
      <c r="H68" s="7">
        <f>'triple exponen'!H2</f>
        <v>12540.404063506403</v>
      </c>
      <c r="I68" s="7">
        <f>'triple exponen'!I2</f>
        <v>12528.971286945183</v>
      </c>
      <c r="J68" s="7">
        <f>'triple exponen'!J2</f>
        <v>12516.188078629948</v>
      </c>
      <c r="K68" s="7">
        <f>'triple exponen'!K2</f>
        <v>12498.668487320232</v>
      </c>
      <c r="L68" s="7">
        <f>'triple exponen'!L2</f>
        <v>12483.83790287689</v>
      </c>
      <c r="M68" s="7">
        <f>'triple exponen'!M2</f>
        <v>12470.804412900672</v>
      </c>
    </row>
    <row r="69" spans="1:13" x14ac:dyDescent="0.3">
      <c r="A69" s="7" t="str">
        <f>'triple exponen'!A3</f>
        <v>Oil A 200 LT</v>
      </c>
      <c r="B69" s="7">
        <f>'triple exponen'!B3</f>
        <v>459915.78</v>
      </c>
      <c r="C69" s="7">
        <f>'triple exponen'!C3</f>
        <v>459853.08498000004</v>
      </c>
      <c r="D69" s="7">
        <f>'triple exponen'!D3</f>
        <v>459675.82664600009</v>
      </c>
      <c r="E69" s="7">
        <f>'triple exponen'!E3</f>
        <v>459466.24316280009</v>
      </c>
      <c r="F69" s="7">
        <f>'triple exponen'!F3</f>
        <v>458980.57632020011</v>
      </c>
      <c r="G69" s="7">
        <f>'triple exponen'!G3</f>
        <v>458226.53460387012</v>
      </c>
      <c r="H69" s="7">
        <f>'triple exponen'!H3</f>
        <v>457303.2129180443</v>
      </c>
      <c r="I69" s="7">
        <f>'triple exponen'!I3</f>
        <v>456336.89678874111</v>
      </c>
      <c r="J69" s="7">
        <f>'triple exponen'!J3</f>
        <v>455423.12786497473</v>
      </c>
      <c r="K69" s="7">
        <f>'triple exponen'!K3</f>
        <v>454643.55171604513</v>
      </c>
      <c r="L69" s="7">
        <f>'triple exponen'!L3</f>
        <v>454009.69864042551</v>
      </c>
      <c r="M69" s="7">
        <f>'triple exponen'!M3</f>
        <v>453474.34851272579</v>
      </c>
    </row>
    <row r="70" spans="1:13" x14ac:dyDescent="0.3">
      <c r="A70" s="7" t="str">
        <f>'triple exponen'!A4</f>
        <v>Oil A 1000 LT</v>
      </c>
      <c r="B70" s="7">
        <f>'triple exponen'!B4</f>
        <v>23458.3</v>
      </c>
      <c r="C70" s="7">
        <f>'triple exponen'!C4</f>
        <v>23477.058300000001</v>
      </c>
      <c r="D70" s="7">
        <f>'triple exponen'!D4</f>
        <v>23514.241010000002</v>
      </c>
      <c r="E70" s="7">
        <f>'triple exponen'!E4</f>
        <v>23579.676658</v>
      </c>
      <c r="F70" s="7">
        <f>'triple exponen'!F4</f>
        <v>23664.158423000001</v>
      </c>
      <c r="G70" s="7">
        <f>'triple exponen'!G4</f>
        <v>23793.712059450001</v>
      </c>
      <c r="H70" s="7">
        <f>'triple exponen'!H4</f>
        <v>24012.438576307002</v>
      </c>
      <c r="I70" s="7">
        <f>'triple exponen'!I4</f>
        <v>24320.088541932404</v>
      </c>
      <c r="J70" s="7">
        <f>'triple exponen'!J4</f>
        <v>24670.893914130527</v>
      </c>
      <c r="K70" s="7">
        <f>'triple exponen'!K4</f>
        <v>25042.881133384482</v>
      </c>
      <c r="L70" s="7">
        <f>'triple exponen'!L4</f>
        <v>25421.711995869646</v>
      </c>
      <c r="M70" s="7">
        <f>'triple exponen'!M4</f>
        <v>25803.355598124908</v>
      </c>
    </row>
    <row r="71" spans="1:13" x14ac:dyDescent="0.3">
      <c r="A71" s="7" t="str">
        <f>'triple exponen'!A5</f>
        <v>Oil B 20 LT</v>
      </c>
      <c r="B71" s="7">
        <f>'triple exponen'!B5</f>
        <v>4698.6499999999996</v>
      </c>
      <c r="C71" s="7">
        <f>'triple exponen'!C5</f>
        <v>4702.5963499999998</v>
      </c>
      <c r="D71" s="7">
        <f>'triple exponen'!D5</f>
        <v>4712.595945</v>
      </c>
      <c r="E71" s="7">
        <f>'triple exponen'!E5</f>
        <v>4728.5593309999995</v>
      </c>
      <c r="F71" s="7">
        <f>'triple exponen'!F5</f>
        <v>4789.3923864999997</v>
      </c>
      <c r="G71" s="7">
        <f>'triple exponen'!G5</f>
        <v>4883.3857331250001</v>
      </c>
      <c r="H71" s="7">
        <f>'triple exponen'!H5</f>
        <v>5002.6654425415009</v>
      </c>
      <c r="I71" s="7">
        <f>'triple exponen'!I5</f>
        <v>5149.2304131268011</v>
      </c>
      <c r="J71" s="7">
        <f>'triple exponen'!J5</f>
        <v>5323.6752895146419</v>
      </c>
      <c r="K71" s="7">
        <f>'triple exponen'!K5</f>
        <v>5543.4036854041597</v>
      </c>
      <c r="L71" s="7">
        <f>'triple exponen'!L5</f>
        <v>5790.9913682400902</v>
      </c>
      <c r="M71" s="7">
        <f>'triple exponen'!M5</f>
        <v>6054.5665647723081</v>
      </c>
    </row>
    <row r="72" spans="1:13" x14ac:dyDescent="0.3">
      <c r="A72" s="7" t="str">
        <f>'triple exponen'!A6</f>
        <v>Oil B 200 LT</v>
      </c>
      <c r="B72" s="7">
        <f>'triple exponen'!B6</f>
        <v>1033.08</v>
      </c>
      <c r="C72" s="7">
        <f>'triple exponen'!C6</f>
        <v>1057.52486</v>
      </c>
      <c r="D72" s="7">
        <f>'triple exponen'!D6</f>
        <v>1117.5450620000001</v>
      </c>
      <c r="E72" s="7">
        <f>'triple exponen'!E6</f>
        <v>1219.5574776000001</v>
      </c>
      <c r="F72" s="7">
        <f>'triple exponen'!F6</f>
        <v>1374.9579118000001</v>
      </c>
      <c r="G72" s="7">
        <f>'triple exponen'!G6</f>
        <v>1581.0203314900002</v>
      </c>
      <c r="H72" s="7">
        <f>'triple exponen'!H6</f>
        <v>1870.0228105194005</v>
      </c>
      <c r="I72" s="7">
        <f>'triple exponen'!I6</f>
        <v>2241.4997605838807</v>
      </c>
      <c r="J72" s="7">
        <f>'triple exponen'!J6</f>
        <v>2688.9805456705449</v>
      </c>
      <c r="K72" s="7">
        <f>'triple exponen'!K6</f>
        <v>3227.7279439602844</v>
      </c>
      <c r="L72" s="7">
        <f>'triple exponen'!L6</f>
        <v>3864.8459281789924</v>
      </c>
      <c r="M72" s="7">
        <f>'triple exponen'!M6</f>
        <v>4594.8693400536158</v>
      </c>
    </row>
    <row r="73" spans="1:13" x14ac:dyDescent="0.3">
      <c r="B73" s="6">
        <f>SUM(B68:B72)</f>
        <v>501693.90000000008</v>
      </c>
      <c r="C73" s="6">
        <f t="shared" ref="C73" si="25">SUM(C68:C72)</f>
        <v>501670.55615000002</v>
      </c>
      <c r="D73" s="6">
        <f t="shared" ref="D73" si="26">SUM(D68:D72)</f>
        <v>501595.68089500011</v>
      </c>
      <c r="E73" s="6">
        <f t="shared" ref="E73" si="27">SUM(E68:E72)</f>
        <v>501565.52150200011</v>
      </c>
      <c r="F73" s="6">
        <f t="shared" ref="F73" si="28">SUM(F68:F72)</f>
        <v>501373.82495390018</v>
      </c>
      <c r="G73" s="6">
        <f t="shared" ref="G73" si="29">SUM(G68:G72)</f>
        <v>501036.44686812512</v>
      </c>
      <c r="H73" s="6">
        <f t="shared" ref="H73" si="30">SUM(H68:H72)</f>
        <v>500728.74381091859</v>
      </c>
      <c r="I73" s="6">
        <f t="shared" ref="I73" si="31">SUM(I68:I72)</f>
        <v>500576.68679132935</v>
      </c>
      <c r="J73" s="6">
        <f t="shared" ref="J73" si="32">SUM(J68:J72)</f>
        <v>500622.8656929204</v>
      </c>
      <c r="K73" s="6">
        <f t="shared" ref="K73" si="33">SUM(K68:K72)</f>
        <v>500956.2329661143</v>
      </c>
      <c r="L73" s="6">
        <f t="shared" ref="L73" si="34">SUM(L68:L72)</f>
        <v>501571.08583559113</v>
      </c>
      <c r="M73" s="6">
        <f t="shared" ref="M73" si="35">SUM(M68:M72)</f>
        <v>502397.94442857732</v>
      </c>
    </row>
    <row r="74" spans="1:13" x14ac:dyDescent="0.3">
      <c r="A74" s="1" t="s">
        <v>74</v>
      </c>
    </row>
    <row r="75" spans="1:13" x14ac:dyDescent="0.3">
      <c r="A75" s="7">
        <f>'Konstanta a triple'!A1</f>
        <v>0.1</v>
      </c>
      <c r="B75" s="7" t="str">
        <f>'Konstanta a triple'!B1</f>
        <v>T1</v>
      </c>
      <c r="C75" s="7" t="str">
        <f>'Konstanta a triple'!C1</f>
        <v>T2</v>
      </c>
      <c r="D75" s="7" t="str">
        <f>'Konstanta a triple'!D1</f>
        <v>T3</v>
      </c>
      <c r="E75" s="7" t="str">
        <f>'Konstanta a triple'!E1</f>
        <v>T4</v>
      </c>
      <c r="F75" s="7" t="str">
        <f>'Konstanta a triple'!F1</f>
        <v>T5</v>
      </c>
      <c r="G75" s="7" t="str">
        <f>'Konstanta a triple'!G1</f>
        <v>T6</v>
      </c>
      <c r="H75" s="7" t="str">
        <f>'Konstanta a triple'!H1</f>
        <v>T7</v>
      </c>
      <c r="I75" s="7" t="str">
        <f>'Konstanta a triple'!I1</f>
        <v>T8</v>
      </c>
      <c r="J75" s="7" t="str">
        <f>'Konstanta a triple'!J1</f>
        <v>T9</v>
      </c>
      <c r="K75" s="7" t="str">
        <f>'Konstanta a triple'!K1</f>
        <v>T10</v>
      </c>
      <c r="L75" s="7" t="str">
        <f>'Konstanta a triple'!L1</f>
        <v>T11</v>
      </c>
      <c r="M75" s="7" t="str">
        <f>'Konstanta a triple'!M1</f>
        <v>T12</v>
      </c>
    </row>
    <row r="76" spans="1:13" x14ac:dyDescent="0.3">
      <c r="A76" s="3" t="str">
        <f>'Konstanta a triple'!A2</f>
        <v>Oil A 20 LT</v>
      </c>
      <c r="B76" s="7">
        <f>'Konstanta a triple'!B2</f>
        <v>12588.09</v>
      </c>
      <c r="C76" s="7">
        <f>'Konstanta a triple'!C2</f>
        <v>10474.73986</v>
      </c>
      <c r="D76" s="7">
        <f>'Konstanta a triple'!D2</f>
        <v>13169.223292000002</v>
      </c>
      <c r="E76" s="7">
        <f>'Konstanta a triple'!E2</f>
        <v>12666.018838600005</v>
      </c>
      <c r="F76" s="7">
        <f>'Konstanta a triple'!F2</f>
        <v>11712.528992600006</v>
      </c>
      <c r="G76" s="7">
        <f>'Konstanta a triple'!G2</f>
        <v>10695.460972089997</v>
      </c>
      <c r="H76" s="7">
        <f>'Konstanta a triple'!H2</f>
        <v>12610.906005964405</v>
      </c>
      <c r="I76" s="7">
        <f>'Konstanta a triple'!I2</f>
        <v>12209.910249530592</v>
      </c>
      <c r="J76" s="7">
        <f>'Konstanta a triple'!J2</f>
        <v>11842.886537892682</v>
      </c>
      <c r="K76" s="7">
        <f>'Konstanta a triple'!K2</f>
        <v>10874.698454298989</v>
      </c>
      <c r="L76" s="7">
        <f>'Konstanta a triple'!L2</f>
        <v>12736.840791435832</v>
      </c>
      <c r="M76" s="7">
        <f>'Konstanta a triple'!M2</f>
        <v>12555.594139053979</v>
      </c>
    </row>
    <row r="77" spans="1:13" x14ac:dyDescent="0.3">
      <c r="A77" s="3" t="str">
        <f>'Konstanta a triple'!A3</f>
        <v>Oil A 200 LT</v>
      </c>
      <c r="B77" s="7">
        <f>'Konstanta a triple'!B3</f>
        <v>459915.78</v>
      </c>
      <c r="C77" s="7">
        <f>'Konstanta a triple'!C3</f>
        <v>442925.42958</v>
      </c>
      <c r="D77" s="7">
        <f>'Konstanta a triple'!D3</f>
        <v>427050.96632599988</v>
      </c>
      <c r="E77" s="7">
        <f>'Konstanta a triple'!E3</f>
        <v>445952.47786079999</v>
      </c>
      <c r="F77" s="7">
        <f>'Konstanta a triple'!F3</f>
        <v>378779.31523579999</v>
      </c>
      <c r="G77" s="7">
        <f>'Konstanta a triple'!G3</f>
        <v>372652.31394657015</v>
      </c>
      <c r="H77" s="7">
        <f>'Konstanta a triple'!H3</f>
        <v>391238.49481326807</v>
      </c>
      <c r="I77" s="7">
        <f>'Konstanta a triple'!I3</f>
        <v>419798.71153255727</v>
      </c>
      <c r="J77" s="7">
        <f>'Konstanta a triple'!J3</f>
        <v>443520.33786871209</v>
      </c>
      <c r="K77" s="7">
        <f>'Konstanta a triple'!K3</f>
        <v>466203.83998028177</v>
      </c>
      <c r="L77" s="7">
        <f>'Konstanta a triple'!L3</f>
        <v>472306.37241302413</v>
      </c>
      <c r="M77" s="7">
        <f>'Konstanta a triple'!M3</f>
        <v>462956.1114093716</v>
      </c>
    </row>
    <row r="78" spans="1:13" x14ac:dyDescent="0.3">
      <c r="A78" s="3" t="str">
        <f>'Konstanta a triple'!A4</f>
        <v>Oil A 1000 LT</v>
      </c>
      <c r="B78" s="7">
        <f>'Konstanta a triple'!B4</f>
        <v>23458.3</v>
      </c>
      <c r="C78" s="7">
        <f>'Konstanta a triple'!C4</f>
        <v>28541.799299999995</v>
      </c>
      <c r="D78" s="7">
        <f>'Konstanta a triple'!D4</f>
        <v>28995.30580999998</v>
      </c>
      <c r="E78" s="7">
        <f>'Konstanta a triple'!E4</f>
        <v>32211.903087999981</v>
      </c>
      <c r="F78" s="7">
        <f>'Konstanta a triple'!F4</f>
        <v>30573.372508999993</v>
      </c>
      <c r="G78" s="7">
        <f>'Konstanta a triple'!G4</f>
        <v>38244.125005949987</v>
      </c>
      <c r="H78" s="7">
        <f>'Konstanta a triple'!H4</f>
        <v>51587.064470346988</v>
      </c>
      <c r="I78" s="7">
        <f>'Konstanta a triple'!I4</f>
        <v>54235.035664539406</v>
      </c>
      <c r="J78" s="7">
        <f>'Konstanta a triple'!J4</f>
        <v>44629.40276065073</v>
      </c>
      <c r="K78" s="7">
        <f>'Konstanta a triple'!K4</f>
        <v>40233.724887809178</v>
      </c>
      <c r="L78" s="7">
        <f>'Konstanta a triple'!L4</f>
        <v>37313.150588152712</v>
      </c>
      <c r="M78" s="7">
        <f>'Konstanta a triple'!M4</f>
        <v>36791.22862315044</v>
      </c>
    </row>
    <row r="79" spans="1:13" x14ac:dyDescent="0.3">
      <c r="A79" s="3" t="str">
        <f>'Konstanta a triple'!A5</f>
        <v>Oil B 20 LT</v>
      </c>
      <c r="B79" s="7">
        <f>'Konstanta a triple'!B5</f>
        <v>4698.6499999999996</v>
      </c>
      <c r="C79" s="7">
        <f>'Konstanta a triple'!C5</f>
        <v>5768.1108500000009</v>
      </c>
      <c r="D79" s="7">
        <f>'Konstanta a triple'!D5</f>
        <v>6453.5235450000027</v>
      </c>
      <c r="E79" s="7">
        <f>'Konstanta a triple'!E5</f>
        <v>6608.7719659999993</v>
      </c>
      <c r="F79" s="7">
        <f>'Konstanta a triple'!F5</f>
        <v>17335.214573499998</v>
      </c>
      <c r="G79" s="7">
        <f>'Konstanta a triple'!G5</f>
        <v>15479.156835375001</v>
      </c>
      <c r="H79" s="7">
        <f>'Konstanta a triple'!H5</f>
        <v>14367.803755121502</v>
      </c>
      <c r="I79" s="7">
        <f>'Konstanta a triple'!I5</f>
        <v>15736.803082948301</v>
      </c>
      <c r="J79" s="7">
        <f>'Konstanta a triple'!J5</f>
        <v>16808.504062003543</v>
      </c>
      <c r="K79" s="7">
        <f>'Konstanta a triple'!K5</f>
        <v>22479.965613328764</v>
      </c>
      <c r="L79" s="7">
        <f>'Konstanta a triple'!L5</f>
        <v>19245.665532788367</v>
      </c>
      <c r="M79" s="7">
        <f>'Konstanta a triple'!M5</f>
        <v>17056.062699340277</v>
      </c>
    </row>
    <row r="80" spans="1:13" x14ac:dyDescent="0.3">
      <c r="A80" s="3" t="str">
        <f>'Konstanta a triple'!A6</f>
        <v>Oil B 200 LT</v>
      </c>
      <c r="B80" s="7">
        <f>'Konstanta a triple'!B6</f>
        <v>1033.08</v>
      </c>
      <c r="C80" s="7">
        <f>'Konstanta a triple'!C6</f>
        <v>7657.6370600000009</v>
      </c>
      <c r="D80" s="7">
        <f>'Konstanta a triple'!D6</f>
        <v>11382.898622000004</v>
      </c>
      <c r="E80" s="7">
        <f>'Konstanta a triple'!E6</f>
        <v>14178.000603599998</v>
      </c>
      <c r="F80" s="7">
        <f>'Konstanta a triple'!F6</f>
        <v>18544.058154999999</v>
      </c>
      <c r="G80" s="7">
        <f>'Konstanta a triple'!G6</f>
        <v>19455.568137189999</v>
      </c>
      <c r="H80" s="7">
        <f>'Konstanta a triple'!H6</f>
        <v>29827.524163787406</v>
      </c>
      <c r="I80" s="7">
        <f>'Konstanta a triple'!I6</f>
        <v>32312.673873849286</v>
      </c>
      <c r="J80" s="7">
        <f>'Konstanta a triple'!J6</f>
        <v>33239.893653401188</v>
      </c>
      <c r="K80" s="7">
        <f>'Konstanta a triple'!K6</f>
        <v>39951.694706130467</v>
      </c>
      <c r="L80" s="7">
        <f>'Konstanta a triple'!L6</f>
        <v>44971.083882823506</v>
      </c>
      <c r="M80" s="7">
        <f>'Konstanta a triple'!M6</f>
        <v>46881.520381055881</v>
      </c>
    </row>
    <row r="82" spans="1:13" x14ac:dyDescent="0.3">
      <c r="A82" s="1" t="s">
        <v>75</v>
      </c>
    </row>
    <row r="83" spans="1:13" x14ac:dyDescent="0.3">
      <c r="A83" s="7">
        <f>'Konstanta b triple'!A1</f>
        <v>0.1</v>
      </c>
      <c r="B83" s="7" t="str">
        <f>'Konstanta b triple'!B1</f>
        <v>T1</v>
      </c>
      <c r="C83" s="7" t="str">
        <f>'Konstanta b triple'!C1</f>
        <v>T2</v>
      </c>
      <c r="D83" s="7" t="str">
        <f>'Konstanta b triple'!D1</f>
        <v>T3</v>
      </c>
      <c r="E83" s="7" t="str">
        <f>'Konstanta b triple'!E1</f>
        <v>T4</v>
      </c>
      <c r="F83" s="7" t="str">
        <f>'Konstanta b triple'!F1</f>
        <v>T5</v>
      </c>
      <c r="G83" s="7" t="str">
        <f>'Konstanta b triple'!G1</f>
        <v>T6</v>
      </c>
      <c r="H83" s="7" t="str">
        <f>'Konstanta b triple'!H1</f>
        <v>T7</v>
      </c>
      <c r="I83" s="7" t="str">
        <f>'Konstanta b triple'!I1</f>
        <v>T8</v>
      </c>
      <c r="J83" s="7" t="str">
        <f>'Konstanta b triple'!J1</f>
        <v>T9</v>
      </c>
      <c r="K83" s="7" t="str">
        <f>'Konstanta b triple'!K1</f>
        <v>T10</v>
      </c>
      <c r="L83" s="7" t="str">
        <f>'Konstanta b triple'!L1</f>
        <v>T11</v>
      </c>
      <c r="M83" s="7" t="str">
        <f>'Konstanta b triple'!M1</f>
        <v>T12</v>
      </c>
    </row>
    <row r="84" spans="1:13" x14ac:dyDescent="0.3">
      <c r="A84" s="7" t="str">
        <f>'Konstanta b triple'!A2</f>
        <v>Oil A 20 LT</v>
      </c>
      <c r="B84" s="7">
        <f>'Konstanta b triple'!B2</f>
        <v>8.9826637212141056E-13</v>
      </c>
      <c r="C84" s="7">
        <f>'Konstanta b triple'!C2</f>
        <v>-222.25268999999963</v>
      </c>
      <c r="D84" s="7">
        <f>'Konstanta b triple'!D2</f>
        <v>77.100652000001077</v>
      </c>
      <c r="E84" s="7">
        <f>'Konstanta b triple'!E2</f>
        <v>18.894527100000467</v>
      </c>
      <c r="F84" s="7">
        <f>'Konstanta b triple'!F2</f>
        <v>-82.578982199999615</v>
      </c>
      <c r="G84" s="7">
        <f>'Konstanta b triple'!G2</f>
        <v>-183.46810248499949</v>
      </c>
      <c r="H84" s="7">
        <f>'Konstanta b triple'!H2</f>
        <v>31.391550292400893</v>
      </c>
      <c r="I84" s="7">
        <f>'Konstanta b triple'!I2</f>
        <v>-12.607023195769328</v>
      </c>
      <c r="J84" s="7">
        <f>'Konstanta b triple'!J2</f>
        <v>-49.920081550676343</v>
      </c>
      <c r="K84" s="7">
        <f>'Konstanta b triple'!K2</f>
        <v>-147.77012365794408</v>
      </c>
      <c r="L84" s="7">
        <f>'Konstanta b triple'!L2</f>
        <v>59.117104381976439</v>
      </c>
      <c r="M84" s="7">
        <f>'Konstanta b triple'!M2</f>
        <v>36.386607869698096</v>
      </c>
    </row>
    <row r="85" spans="1:13" x14ac:dyDescent="0.3">
      <c r="A85" s="7" t="str">
        <f>'Konstanta b triple'!A3</f>
        <v>Oil A 200 LT</v>
      </c>
      <c r="B85" s="7">
        <f>'Konstanta b triple'!B3</f>
        <v>1.4372261953942569E-11</v>
      </c>
      <c r="C85" s="7">
        <f>'Konstanta b triple'!C3</f>
        <v>-1786.8080700000023</v>
      </c>
      <c r="D85" s="7">
        <f>'Konstanta b triple'!D3</f>
        <v>-3327.7494690000267</v>
      </c>
      <c r="E85" s="7">
        <f>'Konstanta b triple'!E3</f>
        <v>-1098.5250861999825</v>
      </c>
      <c r="F85" s="7">
        <f>'Konstanta b triple'!F3</f>
        <v>-8077.9592260999607</v>
      </c>
      <c r="G85" s="7">
        <f>'Konstanta b triple'!G3</f>
        <v>-8134.3507439049854</v>
      </c>
      <c r="H85" s="7">
        <f>'Konstanta b triple'!H3</f>
        <v>-5578.5208469602985</v>
      </c>
      <c r="I85" s="7">
        <f>'Konstanta b triple'!I3</f>
        <v>-2148.663324930541</v>
      </c>
      <c r="J85" s="7">
        <f>'Konstanta b triple'!J3</f>
        <v>531.27922849427841</v>
      </c>
      <c r="K85" s="7">
        <f>'Konstanta b triple'!K3</f>
        <v>2910.7251590817309</v>
      </c>
      <c r="L85" s="7">
        <f>'Konstanta b triple'!L3</f>
        <v>3373.5314404052383</v>
      </c>
      <c r="M85" s="7">
        <f>'Konstanta b triple'!M3</f>
        <v>2173.4809400978133</v>
      </c>
    </row>
    <row r="86" spans="1:13" x14ac:dyDescent="0.3">
      <c r="A86" s="7" t="str">
        <f>'Konstanta b triple'!A4</f>
        <v>Oil A 1000 LT</v>
      </c>
      <c r="B86" s="7">
        <f>'Konstanta b triple'!B4</f>
        <v>8.9826637212141056E-13</v>
      </c>
      <c r="C86" s="7">
        <f>'Konstanta b triple'!C4</f>
        <v>534.6115500000011</v>
      </c>
      <c r="D86" s="7">
        <f>'Konstanta b triple'!D4</f>
        <v>543.85398499999997</v>
      </c>
      <c r="E86" s="7">
        <f>'Konstanta b triple'!E4</f>
        <v>842.39144300000055</v>
      </c>
      <c r="F86" s="7">
        <f>'Konstanta b triple'!F4</f>
        <v>608.24998249999749</v>
      </c>
      <c r="G86" s="7">
        <f>'Konstanta b triple'!G4</f>
        <v>1369.0301013249987</v>
      </c>
      <c r="H86" s="7">
        <f>'Konstanta b triple'!H4</f>
        <v>2670.9807280495011</v>
      </c>
      <c r="I86" s="7">
        <f>'Konstanta b triple'!I4</f>
        <v>2753.0448067563998</v>
      </c>
      <c r="J86" s="7">
        <f>'Konstanta b triple'!J4</f>
        <v>1537.5790529479207</v>
      </c>
      <c r="K86" s="7">
        <f>'Konstanta b triple'!K4</f>
        <v>954.48801328941977</v>
      </c>
      <c r="L86" s="7">
        <f>'Konstanta b triple'!L4</f>
        <v>567.03105134339739</v>
      </c>
      <c r="M86" s="7">
        <f>'Konstanta b triple'!M4</f>
        <v>458.99394593292118</v>
      </c>
    </row>
    <row r="87" spans="1:13" x14ac:dyDescent="0.3">
      <c r="A87" s="7" t="str">
        <f>'Konstanta b triple'!A5</f>
        <v>Oil B 20 LT</v>
      </c>
      <c r="B87" s="7">
        <f>'Konstanta b triple'!B5</f>
        <v>2.2456659303035264E-13</v>
      </c>
      <c r="C87" s="7">
        <f>'Konstanta b triple'!C5</f>
        <v>112.47097500000012</v>
      </c>
      <c r="D87" s="7">
        <f>'Konstanta b triple'!D5</f>
        <v>176.46383250000068</v>
      </c>
      <c r="E87" s="7">
        <f>'Konstanta b triple'!E5</f>
        <v>179.96763850000025</v>
      </c>
      <c r="F87" s="7">
        <f>'Konstanta b triple'!F5</f>
        <v>1294.7489667499999</v>
      </c>
      <c r="G87" s="7">
        <f>'Konstanta b triple'!G5</f>
        <v>1005.9013525625003</v>
      </c>
      <c r="H87" s="7">
        <f>'Konstanta b triple'!H5</f>
        <v>814.65468618275042</v>
      </c>
      <c r="I87" s="7">
        <f>'Konstanta b triple'!I5</f>
        <v>896.90965272730011</v>
      </c>
      <c r="J87" s="7">
        <f>'Konstanta b triple'!J5</f>
        <v>941.14228595769066</v>
      </c>
      <c r="K87" s="7">
        <f>'Konstanta b triple'!K5</f>
        <v>1465.0251821856489</v>
      </c>
      <c r="L87" s="7">
        <f>'Konstanta b triple'!L5</f>
        <v>1013.7180738622665</v>
      </c>
      <c r="M87" s="7">
        <f>'Konstanta b triple'!M5</f>
        <v>703.23182318014949</v>
      </c>
    </row>
    <row r="88" spans="1:13" x14ac:dyDescent="0.3">
      <c r="A88" s="7" t="str">
        <f>'Konstanta b triple'!A6</f>
        <v>Oil B 200 LT</v>
      </c>
      <c r="B88" s="7">
        <f>'Konstanta b triple'!B6</f>
        <v>0</v>
      </c>
      <c r="C88" s="7">
        <f>'Konstanta b triple'!C6</f>
        <v>696.67850999999996</v>
      </c>
      <c r="D88" s="7">
        <f>'Konstanta b triple'!D6</f>
        <v>1038.3421070000002</v>
      </c>
      <c r="E88" s="7">
        <f>'Konstanta b triple'!E6</f>
        <v>1256.7982896000001</v>
      </c>
      <c r="F88" s="7">
        <f>'Konstanta b triple'!F6</f>
        <v>1623.5709456999996</v>
      </c>
      <c r="G88" s="7">
        <f>'Konstanta b triple'!G6</f>
        <v>1599.2670206650002</v>
      </c>
      <c r="H88" s="7">
        <f>'Konstanta b triple'!H6</f>
        <v>2569.8541108629006</v>
      </c>
      <c r="I88" s="7">
        <f>'Konstanta b triple'!I6</f>
        <v>2639.5249035291813</v>
      </c>
      <c r="J88" s="7">
        <f>'Konstanta b triple'!J6</f>
        <v>2537.5862481967242</v>
      </c>
      <c r="K88" s="7">
        <f>'Konstanta b triple'!K6</f>
        <v>3048.5792613743024</v>
      </c>
      <c r="L88" s="7">
        <f>'Konstanta b triple'!L6</f>
        <v>3342.3090972653476</v>
      </c>
      <c r="M88" s="7">
        <f>'Konstanta b triple'!M6</f>
        <v>3284.922672412295</v>
      </c>
    </row>
    <row r="90" spans="1:13" x14ac:dyDescent="0.3">
      <c r="A90" s="1" t="s">
        <v>78</v>
      </c>
    </row>
    <row r="91" spans="1:13" x14ac:dyDescent="0.3">
      <c r="A91" s="7">
        <f>'Konstanta c triple'!A1</f>
        <v>0.1</v>
      </c>
      <c r="B91" s="7" t="str">
        <f>'Konstanta c triple'!B1</f>
        <v>T1</v>
      </c>
      <c r="C91" s="7" t="str">
        <f>'Konstanta c triple'!C1</f>
        <v>T2</v>
      </c>
      <c r="D91" s="7" t="str">
        <f>'Konstanta c triple'!D1</f>
        <v>T3</v>
      </c>
      <c r="E91" s="7" t="str">
        <f>'Konstanta c triple'!E1</f>
        <v>T4</v>
      </c>
      <c r="F91" s="7" t="str">
        <f>'Konstanta c triple'!F1</f>
        <v>T5</v>
      </c>
      <c r="G91" s="7" t="str">
        <f>'Konstanta c triple'!G1</f>
        <v>T6</v>
      </c>
      <c r="H91" s="7" t="str">
        <f>'Konstanta c triple'!H1</f>
        <v>T7</v>
      </c>
      <c r="I91" s="7" t="str">
        <f>'Konstanta c triple'!I1</f>
        <v>T8</v>
      </c>
      <c r="J91" s="7" t="str">
        <f>'Konstanta c triple'!J1</f>
        <v>T9</v>
      </c>
      <c r="K91" s="7" t="str">
        <f>'Konstanta c triple'!K1</f>
        <v>T10</v>
      </c>
      <c r="L91" s="7" t="str">
        <f>'Konstanta c triple'!L1</f>
        <v>T11</v>
      </c>
      <c r="M91" s="7" t="str">
        <f>'Konstanta c triple'!M1</f>
        <v>T12</v>
      </c>
    </row>
    <row r="92" spans="1:13" x14ac:dyDescent="0.3">
      <c r="A92" s="7" t="str">
        <f>'Konstanta c triple'!A2</f>
        <v>Oil A 20 LT</v>
      </c>
      <c r="B92" s="7">
        <f>'Konstanta c triple'!B2</f>
        <v>0</v>
      </c>
      <c r="C92" s="7">
        <f>'Konstanta c triple'!C2</f>
        <v>-7.7983400000000005</v>
      </c>
      <c r="D92" s="7">
        <f>'Konstanta c triple'!D2</f>
        <v>2.9789119999999976</v>
      </c>
      <c r="E92" s="7">
        <f>'Konstanta c triple'!E2</f>
        <v>0.83206860000001026</v>
      </c>
      <c r="F92" s="7">
        <f>'Konstanta c triple'!F2</f>
        <v>-2.7576008000000183</v>
      </c>
      <c r="G92" s="7">
        <f>'Konstanta c triple'!G2</f>
        <v>-6.2008120100000266</v>
      </c>
      <c r="H92" s="7">
        <f>'Konstanta c triple'!H2</f>
        <v>1.5556955263999965</v>
      </c>
      <c r="I92" s="7">
        <f>'Konstanta c triple'!I2</f>
        <v>-4.2699877620000257E-2</v>
      </c>
      <c r="J92" s="7">
        <f>'Konstanta c triple'!J2</f>
        <v>-1.3504317540160338</v>
      </c>
      <c r="K92" s="7">
        <f>'Konstanta c triple'!K2</f>
        <v>-4.7363829944810236</v>
      </c>
      <c r="L92" s="7">
        <f>'Konstanta c triple'!L2</f>
        <v>2.6890068663751778</v>
      </c>
      <c r="M92" s="7">
        <f>'Konstanta c triple'!M2</f>
        <v>1.7970944671241691</v>
      </c>
    </row>
    <row r="93" spans="1:13" x14ac:dyDescent="0.3">
      <c r="A93" s="7" t="str">
        <f>'Konstanta c triple'!A3</f>
        <v>Oil A 200 LT</v>
      </c>
      <c r="B93" s="7">
        <f>'Konstanta c triple'!B3</f>
        <v>0</v>
      </c>
      <c r="C93" s="7">
        <f>'Konstanta c triple'!C3</f>
        <v>-62.695020000000468</v>
      </c>
      <c r="D93" s="7">
        <f>'Konstanta c triple'!D3</f>
        <v>-114.56331400000089</v>
      </c>
      <c r="E93" s="7">
        <f>'Konstanta c triple'!E3</f>
        <v>-32.325149200000105</v>
      </c>
      <c r="F93" s="7">
        <f>'Konstanta c triple'!F3</f>
        <v>-276.08335939999944</v>
      </c>
      <c r="G93" s="7">
        <f>'Konstanta c triple'!G3</f>
        <v>-268.37487372999976</v>
      </c>
      <c r="H93" s="7">
        <f>'Konstanta c triple'!H3</f>
        <v>-169.27996949580094</v>
      </c>
      <c r="I93" s="7">
        <f>'Konstanta c triple'!I3</f>
        <v>-42.994443477360669</v>
      </c>
      <c r="J93" s="7">
        <f>'Konstanta c triple'!J3</f>
        <v>52.547205536750603</v>
      </c>
      <c r="K93" s="7">
        <f>'Konstanta c triple'!K3</f>
        <v>134.19277483677595</v>
      </c>
      <c r="L93" s="7">
        <f>'Konstanta c triple'!L3</f>
        <v>145.72307330999456</v>
      </c>
      <c r="M93" s="7">
        <f>'Konstanta c triple'!M3</f>
        <v>98.502947919910071</v>
      </c>
    </row>
    <row r="94" spans="1:13" x14ac:dyDescent="0.3">
      <c r="A94" s="7" t="str">
        <f>'Konstanta c triple'!A4</f>
        <v>Oil A 1000 LT</v>
      </c>
      <c r="B94" s="7">
        <f>'Konstanta c triple'!B4</f>
        <v>0</v>
      </c>
      <c r="C94" s="7">
        <f>'Konstanta c triple'!C4</f>
        <v>18.758299999999981</v>
      </c>
      <c r="D94" s="7">
        <f>'Konstanta c triple'!D4</f>
        <v>18.424409999999941</v>
      </c>
      <c r="E94" s="7">
        <f>'Konstanta c triple'!E4</f>
        <v>28.252937999999926</v>
      </c>
      <c r="F94" s="7">
        <f>'Konstanta c triple'!F4</f>
        <v>19.046116999999892</v>
      </c>
      <c r="G94" s="7">
        <f>'Konstanta c triple'!G4</f>
        <v>45.071871449999939</v>
      </c>
      <c r="H94" s="7">
        <f>'Konstanta c triple'!H4</f>
        <v>89.17288040699998</v>
      </c>
      <c r="I94" s="7">
        <f>'Konstanta c triple'!I4</f>
        <v>88.923448768399993</v>
      </c>
      <c r="J94" s="7">
        <f>'Konstanta c triple'!J4</f>
        <v>43.155406572719968</v>
      </c>
      <c r="K94" s="7">
        <f>'Konstanta c triple'!K4</f>
        <v>21.181847055835039</v>
      </c>
      <c r="L94" s="7">
        <f>'Konstanta c triple'!L4</f>
        <v>6.8436432312084863</v>
      </c>
      <c r="M94" s="7">
        <f>'Konstanta c triple'!M4</f>
        <v>2.812739770096762</v>
      </c>
    </row>
    <row r="95" spans="1:13" x14ac:dyDescent="0.3">
      <c r="A95" s="7" t="str">
        <f>'Konstanta c triple'!A5</f>
        <v>Oil B 20 LT</v>
      </c>
      <c r="B95" s="7">
        <f>'Konstanta c triple'!B5</f>
        <v>0</v>
      </c>
      <c r="C95" s="7">
        <f>'Konstanta c triple'!C5</f>
        <v>3.9463500000000091</v>
      </c>
      <c r="D95" s="7">
        <f>'Konstanta c triple'!D5</f>
        <v>6.0532450000000164</v>
      </c>
      <c r="E95" s="7">
        <f>'Konstanta c triple'!E5</f>
        <v>5.9637909999999943</v>
      </c>
      <c r="F95" s="7">
        <f>'Konstanta c triple'!F5</f>
        <v>44.869669499999986</v>
      </c>
      <c r="G95" s="7">
        <f>'Konstanta c triple'!G5</f>
        <v>33.160291125000001</v>
      </c>
      <c r="H95" s="7">
        <f>'Konstanta c triple'!H5</f>
        <v>25.286362791500011</v>
      </c>
      <c r="I95" s="7">
        <f>'Konstanta c triple'!I5</f>
        <v>27.285261168799998</v>
      </c>
      <c r="J95" s="7">
        <f>'Konstanta c triple'!J5</f>
        <v>27.879905802540019</v>
      </c>
      <c r="K95" s="7">
        <f>'Konstanta c triple'!K5</f>
        <v>45.283519501677503</v>
      </c>
      <c r="L95" s="7">
        <f>'Konstanta c triple'!L5</f>
        <v>27.859286946412258</v>
      </c>
      <c r="M95" s="7">
        <f>'Konstanta c triple'!M5</f>
        <v>15.987513696288397</v>
      </c>
    </row>
    <row r="96" spans="1:13" x14ac:dyDescent="0.3">
      <c r="A96" s="7" t="str">
        <f>'Konstanta c triple'!A6</f>
        <v>Oil B 200 LT</v>
      </c>
      <c r="B96" s="7">
        <f>'Konstanta c triple'!B6</f>
        <v>0</v>
      </c>
      <c r="C96" s="7">
        <f>'Konstanta c triple'!C6</f>
        <v>24.444860000000002</v>
      </c>
      <c r="D96" s="7">
        <f>'Konstanta c triple'!D6</f>
        <v>35.575342000000013</v>
      </c>
      <c r="E96" s="7">
        <f>'Konstanta c triple'!E6</f>
        <v>41.992213600000014</v>
      </c>
      <c r="F96" s="7">
        <f>'Konstanta c triple'!F6</f>
        <v>53.388018599999995</v>
      </c>
      <c r="G96" s="7">
        <f>'Konstanta c triple'!G6</f>
        <v>50.661985489999999</v>
      </c>
      <c r="H96" s="7">
        <f>'Konstanta c triple'!H6</f>
        <v>82.940059339400008</v>
      </c>
      <c r="I96" s="7">
        <f>'Konstanta c triple'!I6</f>
        <v>82.474471035080029</v>
      </c>
      <c r="J96" s="7">
        <f>'Konstanta c triple'!J6</f>
        <v>76.00383502218402</v>
      </c>
      <c r="K96" s="7">
        <f>'Konstanta c triple'!K6</f>
        <v>91.266613203075025</v>
      </c>
      <c r="L96" s="7">
        <f>'Konstanta c triple'!L6</f>
        <v>98.370585928968737</v>
      </c>
      <c r="M96" s="7">
        <f>'Konstanta c triple'!M6</f>
        <v>92.905427655915375</v>
      </c>
    </row>
    <row r="98" spans="1:13" x14ac:dyDescent="0.3">
      <c r="A98" s="1" t="s">
        <v>76</v>
      </c>
    </row>
    <row r="99" spans="1:13" x14ac:dyDescent="0.3">
      <c r="A99" s="7">
        <f>'Peramalan triple'!A1</f>
        <v>0.1</v>
      </c>
      <c r="B99" s="7"/>
      <c r="C99" s="7" t="str">
        <f>'Peramalan triple'!C1</f>
        <v>T1</v>
      </c>
      <c r="D99" s="7" t="str">
        <f>'Peramalan triple'!D1</f>
        <v>T2</v>
      </c>
      <c r="E99" s="7" t="str">
        <f>'Peramalan triple'!E1</f>
        <v>T3</v>
      </c>
      <c r="F99" s="7" t="str">
        <f>'Peramalan triple'!F1</f>
        <v>T4</v>
      </c>
      <c r="G99" s="7" t="str">
        <f>'Peramalan triple'!G1</f>
        <v>T5</v>
      </c>
      <c r="H99" s="7" t="str">
        <f>'Peramalan triple'!H1</f>
        <v>T6</v>
      </c>
      <c r="I99" s="7" t="str">
        <f>'Peramalan triple'!I1</f>
        <v>T7</v>
      </c>
      <c r="J99" s="7" t="str">
        <f>'Peramalan triple'!J1</f>
        <v>T8</v>
      </c>
      <c r="K99" s="7" t="str">
        <f>'Peramalan triple'!K1</f>
        <v>T9</v>
      </c>
      <c r="L99" s="7" t="str">
        <f>'Peramalan triple'!L1</f>
        <v>T10</v>
      </c>
      <c r="M99" s="7" t="str">
        <f>'Peramalan triple'!M1</f>
        <v>T11</v>
      </c>
    </row>
    <row r="100" spans="1:13" x14ac:dyDescent="0.3">
      <c r="A100" s="7" t="str">
        <f>'Peramalan triple'!A2</f>
        <v>Oil A 20 LT</v>
      </c>
      <c r="B100" s="7">
        <f>'Peramalan triple'!B2</f>
        <v>0</v>
      </c>
      <c r="C100" s="7">
        <f>'Peramalan triple'!C2</f>
        <v>12588.09</v>
      </c>
      <c r="D100" s="7">
        <f>'Peramalan triple'!D2</f>
        <v>10248.588</v>
      </c>
      <c r="E100" s="7">
        <f>'Peramalan triple'!E2</f>
        <v>13247.813400000003</v>
      </c>
      <c r="F100" s="7">
        <f>'Peramalan triple'!F2</f>
        <v>12685.329400000006</v>
      </c>
      <c r="G100" s="7">
        <f>'Peramalan triple'!G2</f>
        <v>11628.571210000007</v>
      </c>
      <c r="H100" s="7">
        <f>'Peramalan triple'!H2</f>
        <v>10508.892463599997</v>
      </c>
      <c r="I100" s="7">
        <f>'Peramalan triple'!I2</f>
        <v>12643.075404020006</v>
      </c>
      <c r="J100" s="7">
        <f>'Peramalan triple'!J2</f>
        <v>12197.281876396013</v>
      </c>
      <c r="K100" s="7">
        <f>'Peramalan triple'!K2</f>
        <v>11792.291240464998</v>
      </c>
      <c r="L100" s="7">
        <f>'Peramalan triple'!L2</f>
        <v>10724.560139143805</v>
      </c>
      <c r="M100" s="7">
        <f>'Peramalan triple'!M2</f>
        <v>12797.302399250995</v>
      </c>
    </row>
    <row r="101" spans="1:13" x14ac:dyDescent="0.3">
      <c r="A101" s="7" t="str">
        <f>'Peramalan triple'!A3</f>
        <v>Oil A 200 LT</v>
      </c>
      <c r="B101" s="7">
        <f>'Peramalan triple'!B3</f>
        <v>0</v>
      </c>
      <c r="C101" s="7">
        <f>'Peramalan triple'!C3</f>
        <v>459915.78</v>
      </c>
      <c r="D101" s="7">
        <f>'Peramalan triple'!D3</f>
        <v>441107.27399999998</v>
      </c>
      <c r="E101" s="7">
        <f>'Peramalan triple'!E3</f>
        <v>423665.93519999983</v>
      </c>
      <c r="F101" s="7">
        <f>'Peramalan triple'!F3</f>
        <v>444837.79019999999</v>
      </c>
      <c r="G101" s="7">
        <f>'Peramalan triple'!G3</f>
        <v>370563.31433000002</v>
      </c>
      <c r="H101" s="7">
        <f>'Peramalan triple'!H3</f>
        <v>364383.77576580015</v>
      </c>
      <c r="I101" s="7">
        <f>'Peramalan triple'!I3</f>
        <v>385575.33398155984</v>
      </c>
      <c r="J101" s="7">
        <f>'Peramalan triple'!J3</f>
        <v>417628.55098588805</v>
      </c>
      <c r="K101" s="7">
        <f>'Peramalan triple'!K3</f>
        <v>444077.89069997473</v>
      </c>
      <c r="L101" s="7">
        <f>'Peramalan triple'!L3</f>
        <v>469181.66152678191</v>
      </c>
      <c r="M101" s="7">
        <f>'Peramalan triple'!M3</f>
        <v>475752.76539008436</v>
      </c>
    </row>
    <row r="102" spans="1:13" x14ac:dyDescent="0.3">
      <c r="A102" s="7" t="str">
        <f>'Peramalan triple'!A4</f>
        <v>Oil A 1000 LT</v>
      </c>
      <c r="B102" s="7">
        <f>'Peramalan triple'!B4</f>
        <v>0</v>
      </c>
      <c r="C102" s="7">
        <f>'Peramalan triple'!C4</f>
        <v>23458.3</v>
      </c>
      <c r="D102" s="7">
        <f>'Peramalan triple'!D4</f>
        <v>29085.789999999997</v>
      </c>
      <c r="E102" s="7">
        <f>'Peramalan triple'!E4</f>
        <v>29548.371999999981</v>
      </c>
      <c r="F102" s="7">
        <f>'Peramalan triple'!F4</f>
        <v>33068.420999999988</v>
      </c>
      <c r="G102" s="7">
        <f>'Peramalan triple'!G4</f>
        <v>31191.14554999999</v>
      </c>
      <c r="H102" s="7">
        <f>'Peramalan triple'!H4</f>
        <v>39635.691042999984</v>
      </c>
      <c r="I102" s="7">
        <f>'Peramalan triple'!I4</f>
        <v>54302.631638599989</v>
      </c>
      <c r="J102" s="7">
        <f>'Peramalan triple'!J4</f>
        <v>57032.542195680006</v>
      </c>
      <c r="K102" s="7">
        <f>'Peramalan triple'!K4</f>
        <v>46188.559516885012</v>
      </c>
      <c r="L102" s="7">
        <f>'Peramalan triple'!L4</f>
        <v>41198.803824626513</v>
      </c>
      <c r="M102" s="7">
        <f>'Peramalan triple'!M4</f>
        <v>37883.603461111714</v>
      </c>
    </row>
    <row r="103" spans="1:13" x14ac:dyDescent="0.3">
      <c r="A103" s="7" t="str">
        <f>'Peramalan triple'!A5</f>
        <v>Oil B 20 LT</v>
      </c>
      <c r="B103" s="7">
        <f>'Peramalan triple'!B5</f>
        <v>0</v>
      </c>
      <c r="C103" s="7">
        <f>'Peramalan triple'!C5</f>
        <v>4698.6499999999996</v>
      </c>
      <c r="D103" s="7">
        <f>'Peramalan triple'!D5</f>
        <v>5882.5550000000012</v>
      </c>
      <c r="E103" s="7">
        <f>'Peramalan triple'!E5</f>
        <v>6633.0140000000029</v>
      </c>
      <c r="F103" s="7">
        <f>'Peramalan triple'!F5</f>
        <v>6791.7214999999997</v>
      </c>
      <c r="G103" s="7">
        <f>'Peramalan triple'!G5</f>
        <v>18652.398375000001</v>
      </c>
      <c r="H103" s="7">
        <f>'Peramalan triple'!H5</f>
        <v>16501.638333500003</v>
      </c>
      <c r="I103" s="7">
        <f>'Peramalan triple'!I5</f>
        <v>15195.101622700002</v>
      </c>
      <c r="J103" s="7">
        <f>'Peramalan triple'!J5</f>
        <v>16647.355366260002</v>
      </c>
      <c r="K103" s="7">
        <f>'Peramalan triple'!K5</f>
        <v>17763.586300862506</v>
      </c>
      <c r="L103" s="7">
        <f>'Peramalan triple'!L5</f>
        <v>23967.632555265249</v>
      </c>
      <c r="M103" s="7">
        <f>'Peramalan triple'!M5</f>
        <v>20273.31325012384</v>
      </c>
    </row>
    <row r="104" spans="1:13" x14ac:dyDescent="0.3">
      <c r="A104" s="7" t="str">
        <f>'Peramalan triple'!A6</f>
        <v>Oil B 200 LT</v>
      </c>
      <c r="B104" s="7">
        <f>'Peramalan triple'!B6</f>
        <v>0</v>
      </c>
      <c r="C104" s="7">
        <f>'Peramalan triple'!C6</f>
        <v>1033.08</v>
      </c>
      <c r="D104" s="7">
        <f>'Peramalan triple'!D6</f>
        <v>8366.5380000000005</v>
      </c>
      <c r="E104" s="7">
        <f>'Peramalan triple'!E6</f>
        <v>12439.028400000005</v>
      </c>
      <c r="F104" s="7">
        <f>'Peramalan triple'!F6</f>
        <v>15455.794999999996</v>
      </c>
      <c r="G104" s="7">
        <f>'Peramalan triple'!G6</f>
        <v>20194.323110000001</v>
      </c>
      <c r="H104" s="7">
        <f>'Peramalan triple'!H6</f>
        <v>21080.166150599998</v>
      </c>
      <c r="I104" s="7">
        <f>'Peramalan triple'!I6</f>
        <v>32438.848304320007</v>
      </c>
      <c r="J104" s="7">
        <f>'Peramalan triple'!J6</f>
        <v>34993.436012896003</v>
      </c>
      <c r="K104" s="7">
        <f>'Peramalan triple'!K6</f>
        <v>35815.481819109009</v>
      </c>
      <c r="L104" s="7">
        <f>'Peramalan triple'!L6</f>
        <v>43045.907274106306</v>
      </c>
      <c r="M104" s="7">
        <f>'Peramalan triple'!M6</f>
        <v>48362.578273053332</v>
      </c>
    </row>
    <row r="105" spans="1:13" x14ac:dyDescent="0.3">
      <c r="B105" s="6">
        <f>SUM(B100:B104)</f>
        <v>0</v>
      </c>
      <c r="C105" s="6">
        <f t="shared" ref="C105" si="36">SUM(C100:C104)</f>
        <v>501693.90000000008</v>
      </c>
      <c r="D105" s="6">
        <f t="shared" ref="D105" si="37">SUM(D100:D104)</f>
        <v>494690.74499999994</v>
      </c>
      <c r="E105" s="6">
        <f t="shared" ref="E105" si="38">SUM(E100:E104)</f>
        <v>485534.16299999983</v>
      </c>
      <c r="F105" s="6">
        <f t="shared" ref="F105" si="39">SUM(F100:F104)</f>
        <v>512839.05709999992</v>
      </c>
      <c r="G105" s="6">
        <f t="shared" ref="G105" si="40">SUM(G100:G104)</f>
        <v>452229.75257500005</v>
      </c>
      <c r="H105" s="6">
        <f t="shared" ref="H105" si="41">SUM(H100:H104)</f>
        <v>452110.16375650011</v>
      </c>
      <c r="I105" s="6">
        <f t="shared" ref="I105" si="42">SUM(I100:I104)</f>
        <v>500154.99095119984</v>
      </c>
      <c r="J105" s="6">
        <f t="shared" ref="J105" si="43">SUM(J100:J104)</f>
        <v>538499.16643712006</v>
      </c>
      <c r="K105" s="6">
        <f t="shared" ref="K105" si="44">SUM(K100:K104)</f>
        <v>555637.80957729626</v>
      </c>
      <c r="L105" s="6">
        <f t="shared" ref="L105" si="45">SUM(L100:L104)</f>
        <v>588118.56531992368</v>
      </c>
      <c r="M105" s="6">
        <f t="shared" ref="M105" si="46">SUM(M100:M104)</f>
        <v>595069.5627736242</v>
      </c>
    </row>
    <row r="107" spans="1:13" x14ac:dyDescent="0.3">
      <c r="A107" s="37" t="s">
        <v>0</v>
      </c>
      <c r="B107" s="30" t="s">
        <v>70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1:13" x14ac:dyDescent="0.3">
      <c r="A108" s="30"/>
      <c r="B108" s="26" t="str">
        <f>'rekap PE double exponen'!B2</f>
        <v>Januari</v>
      </c>
      <c r="C108" s="26" t="str">
        <f>'rekap PE double exponen'!C2</f>
        <v>Februari</v>
      </c>
      <c r="D108" s="26" t="str">
        <f>'rekap PE double exponen'!D2</f>
        <v>Maret</v>
      </c>
      <c r="E108" s="26" t="str">
        <f>'rekap PE double exponen'!E2</f>
        <v>April</v>
      </c>
      <c r="F108" s="26" t="str">
        <f>'rekap PE double exponen'!F2</f>
        <v>Mei</v>
      </c>
      <c r="G108" s="26" t="str">
        <f>'rekap PE double exponen'!G2</f>
        <v>Juni</v>
      </c>
      <c r="H108" s="26" t="str">
        <f>'rekap PE double exponen'!H2</f>
        <v>Juli</v>
      </c>
      <c r="I108" s="26" t="str">
        <f>'rekap PE double exponen'!I2</f>
        <v>Agustus</v>
      </c>
      <c r="J108" s="26" t="str">
        <f>'rekap PE double exponen'!J2</f>
        <v>September</v>
      </c>
      <c r="K108" s="26" t="str">
        <f>'rekap PE double exponen'!K2</f>
        <v>Oktober</v>
      </c>
      <c r="L108" s="26" t="str">
        <f>'rekap PE double exponen'!L2</f>
        <v>November</v>
      </c>
      <c r="M108" s="26" t="str">
        <f>'rekap PE double exponen'!M2</f>
        <v>Desember</v>
      </c>
    </row>
    <row r="109" spans="1:13" x14ac:dyDescent="0.3">
      <c r="A109" s="3" t="str">
        <f>'rekap PE double exponen'!A3</f>
        <v>Oil A 20 LT</v>
      </c>
      <c r="B109" s="7">
        <f>'rekap PE double exponen'!B3</f>
        <v>0</v>
      </c>
      <c r="C109" s="7">
        <f>'rekap PE double exponen'!C3</f>
        <v>162.81309045357273</v>
      </c>
      <c r="D109" s="7">
        <f>'rekap PE double exponen'!D3</f>
        <v>47.54824539709233</v>
      </c>
      <c r="E109" s="7">
        <f>'rekap PE double exponen'!E3</f>
        <v>16.655771522668772</v>
      </c>
      <c r="F109" s="7">
        <f>'rekap PE double exponen'!F3</f>
        <v>38.550941218119441</v>
      </c>
      <c r="G109" s="7">
        <f>'rekap PE double exponen'!G3</f>
        <v>45.434425486478325</v>
      </c>
      <c r="H109" s="7">
        <f>'rekap PE double exponen'!H3</f>
        <v>39.070736668236108</v>
      </c>
      <c r="I109" s="7">
        <f>'rekap PE double exponen'!I3</f>
        <v>13.063536937059316</v>
      </c>
      <c r="J109" s="7">
        <f>'rekap PE double exponen'!J3</f>
        <v>12.048265209838851</v>
      </c>
      <c r="K109" s="7">
        <f>'rekap PE double exponen'!K3</f>
        <v>41.88498699632185</v>
      </c>
      <c r="L109" s="7">
        <f>'rekap PE double exponen'!L3</f>
        <v>38.301767009871078</v>
      </c>
      <c r="M109" s="7">
        <f>'rekap PE double exponen'!M3</f>
        <v>5.2330222916971305</v>
      </c>
    </row>
    <row r="110" spans="1:13" x14ac:dyDescent="0.3">
      <c r="A110" s="3" t="str">
        <f>'rekap PE double exponen'!A4</f>
        <v>Oil A 200 LT</v>
      </c>
      <c r="B110" s="7">
        <f>'rekap PE double exponen'!B4</f>
        <v>0</v>
      </c>
      <c r="C110" s="7">
        <f>'rekap PE double exponen'!C4</f>
        <v>15.783419778966239</v>
      </c>
      <c r="D110" s="7">
        <f>'rekap PE double exponen'!D4</f>
        <v>14.936272826529356</v>
      </c>
      <c r="E110" s="7">
        <f>'rekap PE double exponen'!E4</f>
        <v>13.991156308082909</v>
      </c>
      <c r="F110" s="7">
        <f>'rekap PE double exponen'!F4</f>
        <v>122.83232594776656</v>
      </c>
      <c r="G110" s="7">
        <f>'rekap PE double exponen'!G4</f>
        <v>5.2607279395397697</v>
      </c>
      <c r="H110" s="7">
        <f>'rekap PE double exponen'!H4</f>
        <v>15.590235318094891</v>
      </c>
      <c r="I110" s="7">
        <f>'rekap PE double exponen'!I4</f>
        <v>21.364698419969049</v>
      </c>
      <c r="J110" s="7">
        <f>'rekap PE double exponen'!J4</f>
        <v>17.780105833576449</v>
      </c>
      <c r="K110" s="7">
        <f>'rekap PE double exponen'!K4</f>
        <v>16.529657979063764</v>
      </c>
      <c r="L110" s="7">
        <f>'rekap PE double exponen'!L4</f>
        <v>5.1901300639359285</v>
      </c>
      <c r="M110" s="7">
        <f>'rekap PE double exponen'!M4</f>
        <v>7.6185137400700391</v>
      </c>
    </row>
    <row r="111" spans="1:13" x14ac:dyDescent="0.3">
      <c r="A111" s="3" t="str">
        <f>'rekap PE double exponen'!A5</f>
        <v>Oil A 1000 LT</v>
      </c>
      <c r="B111" s="7">
        <f>'rekap PE double exponen'!B5</f>
        <v>0</v>
      </c>
      <c r="C111" s="7">
        <f>'rekap PE double exponen'!C5</f>
        <v>44.433469298806635</v>
      </c>
      <c r="D111" s="7">
        <f>'rekap PE double exponen'!D5</f>
        <v>5.3629151464772837</v>
      </c>
      <c r="E111" s="7">
        <f>'rekap PE double exponen'!E5</f>
        <v>29.639125985031846</v>
      </c>
      <c r="F111" s="7">
        <f>'rekap PE double exponen'!F5</f>
        <v>26.743919938310928</v>
      </c>
      <c r="G111" s="7">
        <f>'rekap PE double exponen'!G5</f>
        <v>48.814888870246385</v>
      </c>
      <c r="H111" s="7">
        <f>'rekap PE double exponen'!H5</f>
        <v>58.04885564155262</v>
      </c>
      <c r="I111" s="7">
        <f>'rekap PE double exponen'!I5</f>
        <v>16.035787709330794</v>
      </c>
      <c r="J111" s="7">
        <f>'rekap PE double exponen'!J5</f>
        <v>327.36204286777053</v>
      </c>
      <c r="K111" s="7">
        <f>'rekap PE double exponen'!K5</f>
        <v>72.921820605463566</v>
      </c>
      <c r="L111" s="7">
        <f>'rekap PE double exponen'!L5</f>
        <v>45.494215017695083</v>
      </c>
      <c r="M111" s="7">
        <f>'rekap PE double exponen'!M5</f>
        <v>9.8855900356275175</v>
      </c>
    </row>
    <row r="112" spans="1:13" x14ac:dyDescent="0.3">
      <c r="A112" s="3" t="str">
        <f>'rekap PE double exponen'!A6</f>
        <v>Oil B 20 LT</v>
      </c>
      <c r="B112" s="7">
        <f>'rekap PE double exponen'!B6</f>
        <v>0</v>
      </c>
      <c r="C112" s="7">
        <f>'rekap PE double exponen'!C6</f>
        <v>45.648930017351077</v>
      </c>
      <c r="D112" s="7">
        <f>'rekap PE double exponen'!D6</f>
        <v>31.310415610586457</v>
      </c>
      <c r="E112" s="7">
        <f>'rekap PE double exponen'!E6</f>
        <v>7.8836367359663537</v>
      </c>
      <c r="F112" s="7">
        <f>'rekap PE double exponen'!F6</f>
        <v>86.442740100136547</v>
      </c>
      <c r="G112" s="7">
        <f>'rekap PE double exponen'!G6</f>
        <v>104.02406193558417</v>
      </c>
      <c r="H112" s="7">
        <f>'rekap PE double exponen'!H6</f>
        <v>52.828609457202433</v>
      </c>
      <c r="I112" s="7">
        <f>'rekap PE double exponen'!I6</f>
        <v>26.332061512446199</v>
      </c>
      <c r="J112" s="7">
        <f>'rekap PE double exponen'!J6</f>
        <v>19.273696500521968</v>
      </c>
      <c r="K112" s="7">
        <f>'rekap PE double exponen'!K6</f>
        <v>57.416013442615544</v>
      </c>
      <c r="L112" s="7">
        <f>'rekap PE double exponen'!L6</f>
        <v>197.08226006506555</v>
      </c>
      <c r="M112" s="7">
        <f>'rekap PE double exponen'!M6</f>
        <v>108.14498955527931</v>
      </c>
    </row>
    <row r="113" spans="1:13" x14ac:dyDescent="0.3">
      <c r="A113" s="3" t="str">
        <f>'rekap PE double exponen'!A7</f>
        <v>Oil B 200 LT</v>
      </c>
      <c r="B113" s="7">
        <f>'rekap PE double exponen'!B7</f>
        <v>0</v>
      </c>
      <c r="C113" s="7">
        <f>'rekap PE double exponen'!C7</f>
        <v>95.945198081163554</v>
      </c>
      <c r="D113" s="7">
        <f>'rekap PE double exponen'!D7</f>
        <v>69.625860772569354</v>
      </c>
      <c r="E113" s="7">
        <f>'rekap PE double exponen'!E7</f>
        <v>52.898062675342992</v>
      </c>
      <c r="F113" s="7">
        <f>'rekap PE double exponen'!F7</f>
        <v>58.078573939727974</v>
      </c>
      <c r="G113" s="7">
        <f>'rekap PE double exponen'!G7</f>
        <v>14.957209606664415</v>
      </c>
      <c r="H113" s="7">
        <f>'rekap PE double exponen'!H7</f>
        <v>69.987826432056224</v>
      </c>
      <c r="I113" s="7">
        <f>'rekap PE double exponen'!I7</f>
        <v>24.484264756299467</v>
      </c>
      <c r="J113" s="7">
        <f>'rekap PE double exponen'!J7</f>
        <v>6.2294413262793089</v>
      </c>
      <c r="K113" s="7">
        <f>'rekap PE double exponen'!K7</f>
        <v>44.761042531811768</v>
      </c>
      <c r="L113" s="7">
        <f>'rekap PE double exponen'!L7</f>
        <v>32.364253007586832</v>
      </c>
      <c r="M113" s="7">
        <f>'rekap PE double exponen'!M7</f>
        <v>10.191522753218099</v>
      </c>
    </row>
    <row r="115" spans="1:13" x14ac:dyDescent="0.3">
      <c r="A115" s="30" t="s">
        <v>0</v>
      </c>
      <c r="B115" s="30" t="s">
        <v>30</v>
      </c>
      <c r="C115" s="30"/>
      <c r="D115" s="30"/>
      <c r="E115" s="30"/>
      <c r="F115" s="30"/>
      <c r="G115" s="30"/>
      <c r="H115" s="30"/>
      <c r="I115" s="30"/>
      <c r="J115" s="30"/>
    </row>
    <row r="116" spans="1:13" x14ac:dyDescent="0.3">
      <c r="A116" s="30"/>
      <c r="B116" s="11">
        <v>0.1</v>
      </c>
      <c r="C116" s="11">
        <f>+B116+0.1</f>
        <v>0.2</v>
      </c>
      <c r="D116" s="11">
        <f t="shared" ref="D116:J116" si="47">+C116+0.1</f>
        <v>0.30000000000000004</v>
      </c>
      <c r="E116" s="11">
        <f t="shared" si="47"/>
        <v>0.4</v>
      </c>
      <c r="F116" s="11">
        <f t="shared" si="47"/>
        <v>0.5</v>
      </c>
      <c r="G116" s="11">
        <f t="shared" si="47"/>
        <v>0.6</v>
      </c>
      <c r="H116" s="11">
        <f t="shared" si="47"/>
        <v>0.7</v>
      </c>
      <c r="I116" s="11">
        <f t="shared" si="47"/>
        <v>0.79999999999999993</v>
      </c>
      <c r="J116" s="11">
        <f t="shared" si="47"/>
        <v>0.89999999999999991</v>
      </c>
    </row>
    <row r="117" spans="1:13" x14ac:dyDescent="0.3">
      <c r="A117" s="3" t="str">
        <f>'MAPE Double Exponen'!A3</f>
        <v>Oil A 20 LT</v>
      </c>
      <c r="B117" s="7">
        <f>'MAPE Double Exponen'!B3</f>
        <v>38.383732432579663</v>
      </c>
      <c r="C117" s="7">
        <f>'MAPE Double Exponen'!C3</f>
        <v>41.194227809855143</v>
      </c>
      <c r="D117" s="7">
        <f>'MAPE Double Exponen'!D3</f>
        <v>44.873483350687074</v>
      </c>
      <c r="E117" s="7">
        <f>'MAPE Double Exponen'!E3</f>
        <v>48.774728833604861</v>
      </c>
      <c r="F117" s="7">
        <f>'MAPE Double Exponen'!F3</f>
        <v>52.549027721443373</v>
      </c>
      <c r="G117" s="7">
        <f>'MAPE Double Exponen'!G3</f>
        <v>69.350188227992277</v>
      </c>
      <c r="H117" s="7">
        <f>'MAPE Double Exponen'!H3</f>
        <v>89.711559308109017</v>
      </c>
      <c r="I117" s="7">
        <f>'MAPE Double Exponen'!I3</f>
        <v>132.23848701326025</v>
      </c>
      <c r="J117" s="7">
        <f>'MAPE Double Exponen'!J3</f>
        <v>266.28842167084827</v>
      </c>
    </row>
    <row r="118" spans="1:13" x14ac:dyDescent="0.3">
      <c r="A118" s="3" t="str">
        <f>'MAPE Double Exponen'!A4</f>
        <v>Oil A 200 LT</v>
      </c>
      <c r="B118" s="7">
        <f>'MAPE Double Exponen'!B4</f>
        <v>21.406437012966247</v>
      </c>
      <c r="C118" s="7">
        <f>'MAPE Double Exponen'!C4</f>
        <v>22.525286653205871</v>
      </c>
      <c r="D118" s="7">
        <f>'MAPE Double Exponen'!D4</f>
        <v>24.041771006143133</v>
      </c>
      <c r="E118" s="7">
        <f>'MAPE Double Exponen'!E4</f>
        <v>24.824729834556408</v>
      </c>
      <c r="F118" s="7">
        <f>'MAPE Double Exponen'!F4</f>
        <v>26.206093170230869</v>
      </c>
      <c r="G118" s="7">
        <f>'MAPE Double Exponen'!G4</f>
        <v>44.509549874002694</v>
      </c>
      <c r="H118" s="7">
        <f>'MAPE Double Exponen'!H4</f>
        <v>57.880048310964263</v>
      </c>
      <c r="I118" s="7">
        <f>'MAPE Double Exponen'!I4</f>
        <v>82.527165332137955</v>
      </c>
      <c r="J118" s="7">
        <f>'MAPE Double Exponen'!J4</f>
        <v>159.11727241435449</v>
      </c>
    </row>
    <row r="119" spans="1:13" x14ac:dyDescent="0.3">
      <c r="A119" s="3" t="str">
        <f>'MAPE Double Exponen'!A5</f>
        <v>Oil A 1000 LT</v>
      </c>
      <c r="B119" s="7">
        <f>'MAPE Double Exponen'!B5</f>
        <v>57.06188592635943</v>
      </c>
      <c r="C119" s="7">
        <f>'MAPE Double Exponen'!C5</f>
        <v>66.012133889929629</v>
      </c>
      <c r="D119" s="7">
        <f>'MAPE Double Exponen'!D5</f>
        <v>70.841207724987129</v>
      </c>
      <c r="E119" s="7">
        <f>'MAPE Double Exponen'!E5</f>
        <v>73.808121833312626</v>
      </c>
      <c r="F119" s="7">
        <f>'MAPE Double Exponen'!F5</f>
        <v>79.376770889771308</v>
      </c>
      <c r="G119" s="7">
        <f>'MAPE Double Exponen'!G5</f>
        <v>141.00422675140467</v>
      </c>
      <c r="H119" s="7">
        <f>'MAPE Double Exponen'!H5</f>
        <v>188.71656301632262</v>
      </c>
      <c r="I119" s="7">
        <f>'MAPE Double Exponen'!I5</f>
        <v>272.63372282057725</v>
      </c>
      <c r="J119" s="7">
        <f>'MAPE Double Exponen'!J5</f>
        <v>506.08309914663226</v>
      </c>
    </row>
    <row r="120" spans="1:13" x14ac:dyDescent="0.3">
      <c r="A120" s="3" t="str">
        <f>'MAPE Double Exponen'!A6</f>
        <v>Oil B 20 LT</v>
      </c>
      <c r="B120" s="7">
        <f>'MAPE Double Exponen'!B6</f>
        <v>61.365617911062969</v>
      </c>
      <c r="C120" s="7">
        <f>'MAPE Double Exponen'!C6</f>
        <v>81.898259211364859</v>
      </c>
      <c r="D120" s="7">
        <f>'MAPE Double Exponen'!D6</f>
        <v>96.829909667046195</v>
      </c>
      <c r="E120" s="7">
        <f>'MAPE Double Exponen'!E6</f>
        <v>108.69108729006838</v>
      </c>
      <c r="F120" s="7">
        <f>'MAPE Double Exponen'!F6</f>
        <v>119.00946385414768</v>
      </c>
      <c r="G120" s="7">
        <f>'MAPE Double Exponen'!G6</f>
        <v>240.98701717304019</v>
      </c>
      <c r="H120" s="7">
        <f>'MAPE Double Exponen'!H6</f>
        <v>312.41514775409786</v>
      </c>
      <c r="I120" s="7">
        <f>'MAPE Double Exponen'!I6</f>
        <v>452.43056129281246</v>
      </c>
      <c r="J120" s="7">
        <f>'MAPE Double Exponen'!J6</f>
        <v>899.95366001058221</v>
      </c>
    </row>
    <row r="121" spans="1:13" x14ac:dyDescent="0.3">
      <c r="A121" s="3" t="str">
        <f>'MAPE Double Exponen'!A7</f>
        <v>Oil B 200 LT</v>
      </c>
      <c r="B121" s="7">
        <f>'MAPE Double Exponen'!B7</f>
        <v>39.960271323560001</v>
      </c>
      <c r="C121" s="7">
        <f>'MAPE Double Exponen'!C7</f>
        <v>31.905798630624627</v>
      </c>
      <c r="D121" s="7">
        <f>'MAPE Double Exponen'!D7</f>
        <v>32.332778224081146</v>
      </c>
      <c r="E121" s="7">
        <f>'MAPE Double Exponen'!E7</f>
        <v>35.135629992119704</v>
      </c>
      <c r="F121" s="7">
        <f>'MAPE Double Exponen'!F7</f>
        <v>40.503703072898837</v>
      </c>
      <c r="G121" s="7">
        <f>'MAPE Double Exponen'!G7</f>
        <v>129.47366052661772</v>
      </c>
      <c r="H121" s="7">
        <f>'MAPE Double Exponen'!H7</f>
        <v>180.68270920534124</v>
      </c>
      <c r="I121" s="7">
        <f>'MAPE Double Exponen'!I7</f>
        <v>279.96894886338106</v>
      </c>
      <c r="J121" s="7">
        <f>'MAPE Double Exponen'!J7</f>
        <v>568.40600678491398</v>
      </c>
    </row>
    <row r="123" spans="1:13" x14ac:dyDescent="0.3">
      <c r="A123" s="37" t="s">
        <v>0</v>
      </c>
      <c r="B123" s="30" t="s">
        <v>71</v>
      </c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1:13" x14ac:dyDescent="0.3">
      <c r="A124" s="30"/>
      <c r="B124" s="26" t="str">
        <f>'rekap PE triple exponen'!B2</f>
        <v>Januari</v>
      </c>
      <c r="C124" s="26" t="str">
        <f>'rekap PE triple exponen'!C2</f>
        <v>Februari</v>
      </c>
      <c r="D124" s="26" t="str">
        <f>'rekap PE triple exponen'!D2</f>
        <v>Maret</v>
      </c>
      <c r="E124" s="26" t="str">
        <f>'rekap PE triple exponen'!E2</f>
        <v>April</v>
      </c>
      <c r="F124" s="26" t="str">
        <f>'rekap PE triple exponen'!F2</f>
        <v>Mei</v>
      </c>
      <c r="G124" s="26" t="str">
        <f>'rekap PE triple exponen'!G2</f>
        <v>Juni</v>
      </c>
      <c r="H124" s="26" t="str">
        <f>'rekap PE triple exponen'!H2</f>
        <v>Juli</v>
      </c>
      <c r="I124" s="26" t="str">
        <f>'rekap PE triple exponen'!I2</f>
        <v>Agustus</v>
      </c>
      <c r="J124" s="26" t="str">
        <f>'rekap PE triple exponen'!J2</f>
        <v>September</v>
      </c>
      <c r="K124" s="26" t="str">
        <f>'rekap PE triple exponen'!K2</f>
        <v>Oktober</v>
      </c>
      <c r="L124" s="26" t="str">
        <f>'rekap PE triple exponen'!L2</f>
        <v>November</v>
      </c>
      <c r="M124" s="26" t="str">
        <f>'rekap PE triple exponen'!M2</f>
        <v>Desember</v>
      </c>
    </row>
    <row r="125" spans="1:13" x14ac:dyDescent="0.3">
      <c r="A125" s="3" t="str">
        <f>'rekap PE triple exponen'!A3</f>
        <v>Oil A 20 LT</v>
      </c>
      <c r="B125" s="7">
        <f>'rekap PE triple exponen'!B3</f>
        <v>0</v>
      </c>
      <c r="C125" s="7">
        <f>'rekap PE triple exponen'!C3</f>
        <v>162.81309045357273</v>
      </c>
      <c r="D125" s="7">
        <f>'rekap PE triple exponen'!D3</f>
        <v>51.257176883301689</v>
      </c>
      <c r="E125" s="7">
        <f>'rekap PE triple exponen'!E3</f>
        <v>19.339241525740576</v>
      </c>
      <c r="F125" s="7">
        <f>'rekap PE triple exponen'!F3</f>
        <v>39.465738605005093</v>
      </c>
      <c r="G125" s="7">
        <f>'rekap PE triple exponen'!G3</f>
        <v>42.06548288651944</v>
      </c>
      <c r="H125" s="7">
        <f>'rekap PE triple exponen'!H3</f>
        <v>42.465577191849093</v>
      </c>
      <c r="I125" s="7">
        <f>'rekap PE triple exponen'!I3</f>
        <v>14.472084333996149</v>
      </c>
      <c r="J125" s="7">
        <f>'rekap PE triple exponen'!J3</f>
        <v>12.009053417230408</v>
      </c>
      <c r="K125" s="7">
        <f>'rekap PE triple exponen'!K3</f>
        <v>40.278542629313087</v>
      </c>
      <c r="L125" s="7">
        <f>'rekap PE triple exponen'!L3</f>
        <v>40.911351606236906</v>
      </c>
      <c r="M125" s="7">
        <f>'rekap PE triple exponen'!M3</f>
        <v>7.4916688932575566</v>
      </c>
    </row>
    <row r="126" spans="1:13" x14ac:dyDescent="0.3">
      <c r="A126" s="3" t="str">
        <f>'rekap PE triple exponen'!A4</f>
        <v>Oil A 200 LT</v>
      </c>
      <c r="B126" s="7">
        <f>'rekap PE triple exponen'!B4</f>
        <v>0</v>
      </c>
      <c r="C126" s="7">
        <f>'rekap PE triple exponen'!C4</f>
        <v>15.783419778966239</v>
      </c>
      <c r="D126" s="7">
        <f>'rekap PE triple exponen'!D4</f>
        <v>13.325565183630889</v>
      </c>
      <c r="E126" s="7">
        <f>'rekap PE triple exponen'!E4</f>
        <v>16.255682608620912</v>
      </c>
      <c r="F126" s="7">
        <f>'rekap PE triple exponen'!F4</f>
        <v>121.22474604333271</v>
      </c>
      <c r="G126" s="7">
        <f>'rekap PE triple exponen'!G4</f>
        <v>2.0378166360801848</v>
      </c>
      <c r="H126" s="7">
        <f>'rekap PE triple exponen'!H4</f>
        <v>21.380682329163413</v>
      </c>
      <c r="I126" s="7">
        <f>'rekap PE triple exponen'!I4</f>
        <v>24.671846567530118</v>
      </c>
      <c r="J126" s="7">
        <f>'rekap PE triple exponen'!J4</f>
        <v>18.617926180068903</v>
      </c>
      <c r="K126" s="7">
        <f>'rekap PE triple exponen'!K4</f>
        <v>15.53013618605212</v>
      </c>
      <c r="L126" s="7">
        <f>'rekap PE triple exponen'!L4</f>
        <v>2.3985878098847606</v>
      </c>
      <c r="M126" s="7">
        <f>'rekap PE triple exponen'!M4</f>
        <v>11.019026553049574</v>
      </c>
    </row>
    <row r="127" spans="1:13" x14ac:dyDescent="0.3">
      <c r="A127" s="3" t="str">
        <f>'rekap PE triple exponen'!A5</f>
        <v>Oil A 1000 LT</v>
      </c>
      <c r="B127" s="7">
        <f>'rekap PE triple exponen'!B5</f>
        <v>0</v>
      </c>
      <c r="C127" s="7">
        <f>'rekap PE triple exponen'!C5</f>
        <v>44.433469298806635</v>
      </c>
      <c r="D127" s="7">
        <f>'rekap PE triple exponen'!D5</f>
        <v>1.1612797762930303</v>
      </c>
      <c r="E127" s="7">
        <f>'rekap PE triple exponen'!E5</f>
        <v>24.960136526745426</v>
      </c>
      <c r="F127" s="7">
        <f>'rekap PE triple exponen'!F5</f>
        <v>38.584256713715718</v>
      </c>
      <c r="G127" s="7">
        <f>'rekap PE triple exponen'!G5</f>
        <v>45.486131632437285</v>
      </c>
      <c r="H127" s="7">
        <f>'rekap PE triple exponen'!H5</f>
        <v>52.666284863148441</v>
      </c>
      <c r="I127" s="7">
        <f>'rekap PE triple exponen'!I5</f>
        <v>0.46145582241197908</v>
      </c>
      <c r="J127" s="7">
        <f>'rekap PE triple exponen'!J5</f>
        <v>406.30336185077016</v>
      </c>
      <c r="K127" s="7">
        <f>'rekap PE triple exponen'!K5</f>
        <v>90.743586689593286</v>
      </c>
      <c r="L127" s="7">
        <f>'rekap PE triple exponen'!L5</f>
        <v>53.380057871479103</v>
      </c>
      <c r="M127" s="7">
        <f>'rekap PE triple exponen'!M5</f>
        <v>11.907184541001802</v>
      </c>
    </row>
    <row r="128" spans="1:13" x14ac:dyDescent="0.3">
      <c r="A128" s="3" t="str">
        <f>'rekap PE triple exponen'!A6</f>
        <v>Oil B 20 LT</v>
      </c>
      <c r="B128" s="7">
        <f>'rekap PE triple exponen'!B6</f>
        <v>0</v>
      </c>
      <c r="C128" s="7">
        <f>'rekap PE triple exponen'!C6</f>
        <v>45.648930017351077</v>
      </c>
      <c r="D128" s="7">
        <f>'rekap PE triple exponen'!D6</f>
        <v>26.370964209050669</v>
      </c>
      <c r="E128" s="7">
        <f>'rekap PE triple exponen'!E6</f>
        <v>1.3670540195245777</v>
      </c>
      <c r="F128" s="7">
        <f>'rekap PE triple exponen'!F6</f>
        <v>85.137684473582851</v>
      </c>
      <c r="G128" s="7">
        <f>'rekap PE triple exponen'!G6</f>
        <v>168.64964201457002</v>
      </c>
      <c r="H128" s="7">
        <f>'rekap PE triple exponen'!H6</f>
        <v>91.263247530341246</v>
      </c>
      <c r="I128" s="7">
        <f>'rekap PE triple exponen'!I6</f>
        <v>11.625557620681622</v>
      </c>
      <c r="J128" s="7">
        <f>'rekap PE triple exponen'!J6</f>
        <v>3.4488147183621245</v>
      </c>
      <c r="K128" s="7">
        <f>'rekap PE triple exponen'!K6</f>
        <v>49.48819837558149</v>
      </c>
      <c r="L128" s="7">
        <f>'rekap PE triple exponen'!L6</f>
        <v>266.28713750137922</v>
      </c>
      <c r="M128" s="7">
        <f>'rekap PE triple exponen'!M6</f>
        <v>141.30472806323408</v>
      </c>
    </row>
    <row r="129" spans="1:14" x14ac:dyDescent="0.3">
      <c r="A129" s="3" t="str">
        <f>'rekap PE triple exponen'!A7</f>
        <v>Oil B 200 LT</v>
      </c>
      <c r="B129" s="7">
        <f>'rekap PE triple exponen'!B7</f>
        <v>0</v>
      </c>
      <c r="C129" s="7">
        <f>'rekap PE triple exponen'!C7</f>
        <v>95.945198081163554</v>
      </c>
      <c r="D129" s="7">
        <f>'rekap PE triple exponen'!D7</f>
        <v>57.088119107432824</v>
      </c>
      <c r="E129" s="7">
        <f>'rekap PE triple exponen'!E7</f>
        <v>34.031107504812795</v>
      </c>
      <c r="F129" s="7">
        <f>'rekap PE triple exponen'!F7</f>
        <v>42.439947712613041</v>
      </c>
      <c r="G129" s="7">
        <f>'rekap PE triple exponen'!G7</f>
        <v>15.605609421414462</v>
      </c>
      <c r="H129" s="7">
        <f>'rekap PE triple exponen'!H7</f>
        <v>60.493138172098639</v>
      </c>
      <c r="I129" s="7">
        <f>'rekap PE triple exponen'!I7</f>
        <v>1.4561802716395149</v>
      </c>
      <c r="J129" s="7">
        <f>'rekap PE triple exponen'!J7</f>
        <v>22.685837340289186</v>
      </c>
      <c r="K129" s="7">
        <f>'rekap PE triple exponen'!K7</f>
        <v>29.881163103228246</v>
      </c>
      <c r="L129" s="7">
        <f>'rekap PE triple exponen'!L7</f>
        <v>14.165482999946743</v>
      </c>
      <c r="M129" s="7">
        <f>'rekap PE triple exponen'!M7</f>
        <v>12.740062859382531</v>
      </c>
    </row>
    <row r="131" spans="1:14" x14ac:dyDescent="0.3">
      <c r="A131" s="30" t="s">
        <v>0</v>
      </c>
      <c r="B131" s="30" t="s">
        <v>30</v>
      </c>
      <c r="C131" s="30"/>
      <c r="D131" s="30"/>
      <c r="E131" s="30"/>
      <c r="F131" s="30"/>
      <c r="G131" s="30"/>
      <c r="H131" s="30"/>
      <c r="I131" s="30"/>
      <c r="J131" s="30"/>
    </row>
    <row r="132" spans="1:14" x14ac:dyDescent="0.3">
      <c r="A132" s="30"/>
      <c r="B132" s="11">
        <v>0.1</v>
      </c>
      <c r="C132" s="11">
        <f>+B132+0.1</f>
        <v>0.2</v>
      </c>
      <c r="D132" s="11">
        <f t="shared" ref="D132:J132" si="48">+C132+0.1</f>
        <v>0.30000000000000004</v>
      </c>
      <c r="E132" s="11">
        <f t="shared" si="48"/>
        <v>0.4</v>
      </c>
      <c r="F132" s="11">
        <f t="shared" si="48"/>
        <v>0.5</v>
      </c>
      <c r="G132" s="11">
        <f t="shared" si="48"/>
        <v>0.6</v>
      </c>
      <c r="H132" s="11">
        <f t="shared" si="48"/>
        <v>0.7</v>
      </c>
      <c r="I132" s="11">
        <f t="shared" si="48"/>
        <v>0.79999999999999993</v>
      </c>
      <c r="J132" s="11">
        <f t="shared" si="48"/>
        <v>0.89999999999999991</v>
      </c>
    </row>
    <row r="133" spans="1:14" x14ac:dyDescent="0.3">
      <c r="A133" s="3" t="str">
        <f>'MAPE Triple'!A3</f>
        <v>Oil A 20 LT</v>
      </c>
      <c r="B133" s="7">
        <f>'MAPE Triple'!B3</f>
        <v>39.380750702168555</v>
      </c>
      <c r="C133" s="7">
        <f>'MAPE Triple'!C3</f>
        <v>44.590873829694367</v>
      </c>
      <c r="D133" s="7">
        <f>'MAPE Triple'!D3</f>
        <v>50.667301504712434</v>
      </c>
      <c r="E133" s="7">
        <f>'MAPE Triple'!E3</f>
        <v>56.543847543100533</v>
      </c>
      <c r="F133" s="7">
        <f>'MAPE Triple'!F3</f>
        <v>64.628167080800736</v>
      </c>
      <c r="G133" s="7">
        <f>'MAPE Triple'!G3</f>
        <v>64.628167080800736</v>
      </c>
      <c r="H133" s="7">
        <f>'MAPE Triple'!H3</f>
        <v>64.628167080800736</v>
      </c>
      <c r="I133" s="7">
        <f>'MAPE Triple'!I3</f>
        <v>64.628167080800736</v>
      </c>
      <c r="J133" s="7">
        <f>'MAPE Triple'!J3</f>
        <v>64.628167080800736</v>
      </c>
    </row>
    <row r="134" spans="1:14" x14ac:dyDescent="0.3">
      <c r="A134" s="3" t="str">
        <f>'MAPE Triple'!A4</f>
        <v>Oil A 200 LT</v>
      </c>
      <c r="B134" s="7">
        <f>'MAPE Triple'!B4</f>
        <v>21.853786323031652</v>
      </c>
      <c r="C134" s="7">
        <f>'MAPE Triple'!C4</f>
        <v>24.663937076166096</v>
      </c>
      <c r="D134" s="7">
        <f>'MAPE Triple'!D4</f>
        <v>26.450854417092387</v>
      </c>
      <c r="E134" s="7">
        <f>'MAPE Triple'!E4</f>
        <v>29.083296453872965</v>
      </c>
      <c r="F134" s="7">
        <f>'MAPE Triple'!F4</f>
        <v>31.518618609286957</v>
      </c>
      <c r="G134" s="7">
        <f>'MAPE Triple'!G4</f>
        <v>104.46478860452883</v>
      </c>
      <c r="H134" s="7">
        <f>'MAPE Triple'!H4</f>
        <v>177.72836918701057</v>
      </c>
      <c r="I134" s="7">
        <f>'MAPE Triple'!I4</f>
        <v>391.20283722791982</v>
      </c>
      <c r="J134" s="7">
        <f>'MAPE Triple'!J4</f>
        <v>1527.4646617510743</v>
      </c>
    </row>
    <row r="135" spans="1:14" x14ac:dyDescent="0.3">
      <c r="A135" s="3" t="str">
        <f>'MAPE Triple'!A5</f>
        <v>Oil A 1000 LT</v>
      </c>
      <c r="B135" s="7">
        <f>'MAPE Triple'!B5</f>
        <v>64.173933798866912</v>
      </c>
      <c r="C135" s="7">
        <f>'MAPE Triple'!C5</f>
        <v>74.711453864563637</v>
      </c>
      <c r="D135" s="7">
        <f>'MAPE Triple'!D5</f>
        <v>79.926864063741334</v>
      </c>
      <c r="E135" s="7">
        <f>'MAPE Triple'!E5</f>
        <v>91.149567171740998</v>
      </c>
      <c r="F135" s="7">
        <f>'MAPE Triple'!F5</f>
        <v>94.75596691755878</v>
      </c>
      <c r="G135" s="7">
        <f>'MAPE Triple'!G5</f>
        <v>365.42758750500457</v>
      </c>
      <c r="H135" s="7">
        <f>'MAPE Triple'!H5</f>
        <v>631.13018450386528</v>
      </c>
      <c r="I135" s="7">
        <f>'MAPE Triple'!I5</f>
        <v>1339.993236534556</v>
      </c>
      <c r="J135" s="7">
        <f>'MAPE Triple'!J5</f>
        <v>4958.4379709956838</v>
      </c>
    </row>
    <row r="136" spans="1:14" x14ac:dyDescent="0.3">
      <c r="A136" s="3" t="str">
        <f>'MAPE Triple'!A6</f>
        <v>Oil B 20 LT</v>
      </c>
      <c r="B136" s="7">
        <f>'MAPE Triple'!B6</f>
        <v>74.215996545304904</v>
      </c>
      <c r="C136" s="7">
        <f>'MAPE Triple'!C6</f>
        <v>99.798403982185732</v>
      </c>
      <c r="D136" s="7">
        <f>'MAPE Triple'!D6</f>
        <v>117.13603593266436</v>
      </c>
      <c r="E136" s="7">
        <f>'MAPE Triple'!E6</f>
        <v>132.77311515411347</v>
      </c>
      <c r="F136" s="7">
        <f>'MAPE Triple'!F6</f>
        <v>158.33808292731675</v>
      </c>
      <c r="G136" s="7">
        <f>'MAPE Triple'!G6</f>
        <v>631.12960238008498</v>
      </c>
      <c r="H136" s="7">
        <f>'MAPE Triple'!H6</f>
        <v>1056.7714754679464</v>
      </c>
      <c r="I136" s="7">
        <f>'MAPE Triple'!I6</f>
        <v>2265.4775752631285</v>
      </c>
      <c r="J136" s="7">
        <f>'MAPE Triple'!J6</f>
        <v>8946.8080644961719</v>
      </c>
    </row>
    <row r="137" spans="1:14" x14ac:dyDescent="0.3">
      <c r="A137" s="3" t="str">
        <f>'MAPE Triple'!A7</f>
        <v>Oil B 200 LT</v>
      </c>
      <c r="B137" s="7">
        <f>'MAPE Triple'!B7</f>
        <v>32.210987214501799</v>
      </c>
      <c r="C137" s="7">
        <f>'MAPE Triple'!C7</f>
        <v>33.630521043324592</v>
      </c>
      <c r="D137" s="7">
        <f>'MAPE Triple'!D7</f>
        <v>39.381227299770877</v>
      </c>
      <c r="E137" s="7">
        <f>'MAPE Triple'!E7</f>
        <v>46.816600733646084</v>
      </c>
      <c r="F137" s="7">
        <f>'MAPE Triple'!F7</f>
        <v>53.781005225476207</v>
      </c>
      <c r="G137" s="7">
        <f>'MAPE Triple'!G7</f>
        <v>423.06025851603027</v>
      </c>
      <c r="H137" s="7">
        <f>'MAPE Triple'!H7</f>
        <v>740.73903410519688</v>
      </c>
      <c r="I137" s="7">
        <f>'MAPE Triple'!I7</f>
        <v>1605.3317185360095</v>
      </c>
      <c r="J137" s="7">
        <f>'MAPE Triple'!J7</f>
        <v>6085.9578087796717</v>
      </c>
    </row>
    <row r="139" spans="1:14" x14ac:dyDescent="0.3">
      <c r="A139" s="2" t="s">
        <v>1</v>
      </c>
      <c r="B139" s="30" t="s">
        <v>2</v>
      </c>
      <c r="C139" s="30" t="s">
        <v>3</v>
      </c>
      <c r="D139" s="30" t="s">
        <v>4</v>
      </c>
      <c r="E139" s="30" t="s">
        <v>5</v>
      </c>
      <c r="F139" s="30" t="s">
        <v>6</v>
      </c>
      <c r="G139" s="30" t="s">
        <v>7</v>
      </c>
      <c r="H139" s="30" t="s">
        <v>8</v>
      </c>
      <c r="I139" s="30" t="s">
        <v>9</v>
      </c>
      <c r="J139" s="30" t="s">
        <v>10</v>
      </c>
      <c r="K139" s="30" t="s">
        <v>11</v>
      </c>
      <c r="L139" s="30" t="s">
        <v>12</v>
      </c>
      <c r="M139" s="30" t="s">
        <v>13</v>
      </c>
      <c r="N139" s="30" t="s">
        <v>14</v>
      </c>
    </row>
    <row r="140" spans="1:14" x14ac:dyDescent="0.3">
      <c r="A140" s="13" t="s">
        <v>0</v>
      </c>
      <c r="B140" s="31"/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</row>
    <row r="141" spans="1:14" x14ac:dyDescent="0.3">
      <c r="A141" s="3" t="str">
        <f>'Peramalan Double Exponen'!A3</f>
        <v>Oil A 20 LT</v>
      </c>
      <c r="B141" s="7">
        <f>'Peramalan Double Exponen'!B3</f>
        <v>12413.16984744482</v>
      </c>
      <c r="C141" s="7">
        <f>'Peramalan Double Exponen'!C3</f>
        <v>12416.310207672721</v>
      </c>
      <c r="D141" s="7">
        <f>'Peramalan Double Exponen'!D3</f>
        <v>12419.45056790062</v>
      </c>
      <c r="E141" s="7">
        <f>'Peramalan Double Exponen'!E3</f>
        <v>12422.59092812852</v>
      </c>
      <c r="F141" s="7">
        <f>'Peramalan Double Exponen'!F3</f>
        <v>12425.731288356421</v>
      </c>
      <c r="G141" s="7">
        <f>'Peramalan Double Exponen'!G3</f>
        <v>12428.871648584322</v>
      </c>
      <c r="H141" s="7">
        <f>'Peramalan Double Exponen'!H3</f>
        <v>12432.01200881222</v>
      </c>
      <c r="I141" s="7">
        <f>'Peramalan Double Exponen'!I3</f>
        <v>12435.152369040121</v>
      </c>
      <c r="J141" s="7">
        <f>'Peramalan Double Exponen'!J3</f>
        <v>12438.292729268022</v>
      </c>
      <c r="K141" s="7">
        <f>'Peramalan Double Exponen'!K3</f>
        <v>12441.433089495922</v>
      </c>
      <c r="L141" s="7">
        <f>'Peramalan Double Exponen'!L3</f>
        <v>12444.573449723823</v>
      </c>
      <c r="M141" s="7">
        <f>'Peramalan Double Exponen'!M3</f>
        <v>12447.713809951721</v>
      </c>
      <c r="N141" s="7">
        <f>'Peramalan Double Exponen'!N3</f>
        <v>149165.30194437929</v>
      </c>
    </row>
    <row r="142" spans="1:14" x14ac:dyDescent="0.3">
      <c r="A142" s="3" t="str">
        <f>'Peramalan Double Exponen'!A4</f>
        <v>Oil A 200 LT</v>
      </c>
      <c r="B142" s="7">
        <f>'Peramalan Double Exponen'!B4</f>
        <v>455328.54903143825</v>
      </c>
      <c r="C142" s="7">
        <f>'Peramalan Double Exponen'!C4</f>
        <v>455679.72543501772</v>
      </c>
      <c r="D142" s="7">
        <f>'Peramalan Double Exponen'!D4</f>
        <v>456030.9018385972</v>
      </c>
      <c r="E142" s="7">
        <f>'Peramalan Double Exponen'!E4</f>
        <v>456382.07824217668</v>
      </c>
      <c r="F142" s="7">
        <f>'Peramalan Double Exponen'!F4</f>
        <v>456733.2546457561</v>
      </c>
      <c r="G142" s="7">
        <f>'Peramalan Double Exponen'!G4</f>
        <v>457084.43104933557</v>
      </c>
      <c r="H142" s="7">
        <f>'Peramalan Double Exponen'!H4</f>
        <v>457435.60745291505</v>
      </c>
      <c r="I142" s="7">
        <f>'Peramalan Double Exponen'!I4</f>
        <v>457786.78385649453</v>
      </c>
      <c r="J142" s="7">
        <f>'Peramalan Double Exponen'!J4</f>
        <v>458137.960260074</v>
      </c>
      <c r="K142" s="7">
        <f>'Peramalan Double Exponen'!K4</f>
        <v>458489.13666365348</v>
      </c>
      <c r="L142" s="7">
        <f>'Peramalan Double Exponen'!L4</f>
        <v>458840.31306723296</v>
      </c>
      <c r="M142" s="7">
        <f>'Peramalan Double Exponen'!M4</f>
        <v>459191.48947081243</v>
      </c>
      <c r="N142" s="7">
        <f>'Peramalan Double Exponen'!N4</f>
        <v>5487120.2310135048</v>
      </c>
    </row>
    <row r="143" spans="1:14" x14ac:dyDescent="0.3">
      <c r="A143" s="3" t="str">
        <f>'Peramalan Double Exponen'!A5</f>
        <v>Oil A 1000 LT</v>
      </c>
      <c r="B143" s="7">
        <f>'Peramalan Double Exponen'!B5</f>
        <v>36970.354961958743</v>
      </c>
      <c r="C143" s="7">
        <f>'Peramalan Double Exponen'!C5</f>
        <v>37377.313222144869</v>
      </c>
      <c r="D143" s="7">
        <f>'Peramalan Double Exponen'!D5</f>
        <v>37784.271482331002</v>
      </c>
      <c r="E143" s="7">
        <f>'Peramalan Double Exponen'!E5</f>
        <v>38191.229742517135</v>
      </c>
      <c r="F143" s="7">
        <f>'Peramalan Double Exponen'!F5</f>
        <v>38598.188002703268</v>
      </c>
      <c r="G143" s="7">
        <f>'Peramalan Double Exponen'!G5</f>
        <v>39005.146262889393</v>
      </c>
      <c r="H143" s="7">
        <f>'Peramalan Double Exponen'!H5</f>
        <v>39412.104523075526</v>
      </c>
      <c r="I143" s="7">
        <f>'Peramalan Double Exponen'!I5</f>
        <v>39819.062783261659</v>
      </c>
      <c r="J143" s="7">
        <f>'Peramalan Double Exponen'!J5</f>
        <v>40226.021043447792</v>
      </c>
      <c r="K143" s="7">
        <f>'Peramalan Double Exponen'!K5</f>
        <v>40632.979303633918</v>
      </c>
      <c r="L143" s="7">
        <f>'Peramalan Double Exponen'!L5</f>
        <v>41039.937563820051</v>
      </c>
      <c r="M143" s="7">
        <f>'Peramalan Double Exponen'!M5</f>
        <v>41446.895824006184</v>
      </c>
      <c r="N143" s="7">
        <f>'Peramalan Double Exponen'!N5</f>
        <v>470503.50471578952</v>
      </c>
    </row>
    <row r="144" spans="1:14" x14ac:dyDescent="0.3">
      <c r="A144" s="3" t="str">
        <f>'Peramalan Double Exponen'!A6</f>
        <v>Oil B 20 LT</v>
      </c>
      <c r="B144" s="7">
        <f>'Peramalan Double Exponen'!B6</f>
        <v>16168.536909739732</v>
      </c>
      <c r="C144" s="7">
        <f>'Peramalan Double Exponen'!C6</f>
        <v>16575.999729538547</v>
      </c>
      <c r="D144" s="7">
        <f>'Peramalan Double Exponen'!D6</f>
        <v>16983.462549337361</v>
      </c>
      <c r="E144" s="7">
        <f>'Peramalan Double Exponen'!E6</f>
        <v>17390.925369136174</v>
      </c>
      <c r="F144" s="7">
        <f>'Peramalan Double Exponen'!F6</f>
        <v>17798.388188934987</v>
      </c>
      <c r="G144" s="7">
        <f>'Peramalan Double Exponen'!G6</f>
        <v>18205.8510087338</v>
      </c>
      <c r="H144" s="7">
        <f>'Peramalan Double Exponen'!H6</f>
        <v>18613.313828532617</v>
      </c>
      <c r="I144" s="7">
        <f>'Peramalan Double Exponen'!I6</f>
        <v>19020.77664833143</v>
      </c>
      <c r="J144" s="7">
        <f>'Peramalan Double Exponen'!J6</f>
        <v>19428.239468130243</v>
      </c>
      <c r="K144" s="7">
        <f>'Peramalan Double Exponen'!K6</f>
        <v>19835.702287929056</v>
      </c>
      <c r="L144" s="7">
        <f>'Peramalan Double Exponen'!L6</f>
        <v>20243.165107727873</v>
      </c>
      <c r="M144" s="7">
        <f>'Peramalan Double Exponen'!M6</f>
        <v>20650.627927526686</v>
      </c>
      <c r="N144" s="7">
        <f>'Peramalan Double Exponen'!N6</f>
        <v>220914.98902359849</v>
      </c>
    </row>
    <row r="145" spans="1:15" x14ac:dyDescent="0.3">
      <c r="A145" s="3" t="str">
        <f>'Peramalan Double Exponen'!A7</f>
        <v>Oil B 200 LT</v>
      </c>
      <c r="B145" s="7">
        <f>'Peramalan Double Exponen'!B7</f>
        <v>40922.3530017046</v>
      </c>
      <c r="C145" s="7">
        <f>'Peramalan Double Exponen'!C7</f>
        <v>42488.525262482457</v>
      </c>
      <c r="D145" s="7">
        <f>'Peramalan Double Exponen'!D7</f>
        <v>44054.697523260322</v>
      </c>
      <c r="E145" s="7">
        <f>'Peramalan Double Exponen'!E7</f>
        <v>45620.869784038179</v>
      </c>
      <c r="F145" s="7">
        <f>'Peramalan Double Exponen'!F7</f>
        <v>47187.042044816044</v>
      </c>
      <c r="G145" s="7">
        <f>'Peramalan Double Exponen'!G7</f>
        <v>48753.214305593909</v>
      </c>
      <c r="H145" s="7">
        <f>'Peramalan Double Exponen'!H7</f>
        <v>50319.386566371766</v>
      </c>
      <c r="I145" s="7">
        <f>'Peramalan Double Exponen'!I7</f>
        <v>51885.558827149631</v>
      </c>
      <c r="J145" s="7">
        <f>'Peramalan Double Exponen'!J7</f>
        <v>53451.731087927488</v>
      </c>
      <c r="K145" s="7">
        <f>'Peramalan Double Exponen'!K7</f>
        <v>55017.903348705353</v>
      </c>
      <c r="L145" s="7">
        <f>'Peramalan Double Exponen'!L7</f>
        <v>56584.075609483218</v>
      </c>
      <c r="M145" s="7">
        <f>'Peramalan Double Exponen'!M7</f>
        <v>58150.247870261075</v>
      </c>
      <c r="N145" s="7">
        <f>'Peramalan Double Exponen'!N7</f>
        <v>594435.60523179395</v>
      </c>
    </row>
    <row r="146" spans="1:15" x14ac:dyDescent="0.3">
      <c r="A146" s="3" t="s">
        <v>15</v>
      </c>
      <c r="B146" s="7">
        <f>SUM(B141:B145)</f>
        <v>561802.96375228604</v>
      </c>
      <c r="C146" s="7">
        <f t="shared" ref="C146:N146" si="49">SUM(C141:C145)</f>
        <v>564537.87385685625</v>
      </c>
      <c r="D146" s="7">
        <f t="shared" si="49"/>
        <v>567272.78396142647</v>
      </c>
      <c r="E146" s="7">
        <f t="shared" si="49"/>
        <v>570007.69406599668</v>
      </c>
      <c r="F146" s="7">
        <f t="shared" si="49"/>
        <v>572742.60417056677</v>
      </c>
      <c r="G146" s="7">
        <f t="shared" si="49"/>
        <v>575477.51427513699</v>
      </c>
      <c r="H146" s="7">
        <f t="shared" si="49"/>
        <v>578212.4243797072</v>
      </c>
      <c r="I146" s="7">
        <f t="shared" si="49"/>
        <v>580947.33448427741</v>
      </c>
      <c r="J146" s="7">
        <f t="shared" si="49"/>
        <v>583682.2445888475</v>
      </c>
      <c r="K146" s="7">
        <f t="shared" si="49"/>
        <v>586417.15469341772</v>
      </c>
      <c r="L146" s="7">
        <f t="shared" si="49"/>
        <v>589152.06479798793</v>
      </c>
      <c r="M146" s="7">
        <f t="shared" si="49"/>
        <v>591886.97490255814</v>
      </c>
      <c r="N146" s="7">
        <f t="shared" si="49"/>
        <v>6922139.631929066</v>
      </c>
    </row>
    <row r="147" spans="1:15" x14ac:dyDescent="0.3">
      <c r="A147" s="1" t="str">
        <f>'Peramalan Double Exponen'!A9</f>
        <v>Jam Kerja Tersedia</v>
      </c>
      <c r="B147" s="1">
        <f>'Peramalan Double Exponen'!B9</f>
        <v>14040</v>
      </c>
      <c r="C147" s="1">
        <f>'Peramalan Double Exponen'!C9</f>
        <v>14820</v>
      </c>
      <c r="D147" s="1">
        <f>'Peramalan Double Exponen'!D9</f>
        <v>17160</v>
      </c>
      <c r="E147" s="1">
        <f>'Peramalan Double Exponen'!E9</f>
        <v>15600</v>
      </c>
      <c r="F147" s="1">
        <f>'Peramalan Double Exponen'!F9</f>
        <v>11700</v>
      </c>
      <c r="G147" s="1">
        <f>'Peramalan Double Exponen'!G9</f>
        <v>15600</v>
      </c>
      <c r="H147" s="1">
        <f>'Peramalan Double Exponen'!H9</f>
        <v>16380</v>
      </c>
      <c r="I147" s="1">
        <f>'Peramalan Double Exponen'!I9</f>
        <v>15600</v>
      </c>
      <c r="J147" s="1">
        <f>'Peramalan Double Exponen'!J9</f>
        <v>17160</v>
      </c>
      <c r="K147" s="1">
        <f>'Peramalan Double Exponen'!K9</f>
        <v>15600</v>
      </c>
      <c r="L147" s="1">
        <f>'Peramalan Double Exponen'!L9</f>
        <v>17160</v>
      </c>
      <c r="M147" s="1">
        <f>'Peramalan Double Exponen'!M9</f>
        <v>17940</v>
      </c>
      <c r="N147" s="1">
        <f>SUM(B147:M147)</f>
        <v>188760</v>
      </c>
      <c r="O147" s="1">
        <f>N147/60</f>
        <v>3146</v>
      </c>
    </row>
    <row r="148" spans="1:15" x14ac:dyDescent="0.3">
      <c r="A148" s="1" t="str">
        <f>'Peramalan Double Exponen'!A10</f>
        <v>From Lingo Jam Kerja Terpakai</v>
      </c>
      <c r="B148" s="1">
        <v>6707</v>
      </c>
      <c r="C148" s="1">
        <v>7435</v>
      </c>
      <c r="D148" s="1">
        <v>10544</v>
      </c>
      <c r="E148" s="1">
        <v>8111</v>
      </c>
      <c r="F148" s="1">
        <v>4159</v>
      </c>
      <c r="G148" s="1">
        <v>8007</v>
      </c>
      <c r="H148" s="1">
        <v>8735</v>
      </c>
      <c r="I148" s="1">
        <v>7903</v>
      </c>
      <c r="J148" s="1">
        <v>9411</v>
      </c>
      <c r="K148" s="1">
        <v>7799</v>
      </c>
      <c r="L148" s="1">
        <v>9307</v>
      </c>
      <c r="M148" s="1">
        <v>10035</v>
      </c>
      <c r="N148" s="1">
        <f t="shared" ref="N148:N149" si="50">SUM(B148:M148)</f>
        <v>98153</v>
      </c>
      <c r="O148" s="28">
        <f>N148/60</f>
        <v>1635.8833333333334</v>
      </c>
    </row>
    <row r="149" spans="1:15" x14ac:dyDescent="0.3">
      <c r="A149" s="1" t="str">
        <f>'Peramalan Double Exponen'!A11</f>
        <v>Selisih</v>
      </c>
      <c r="B149" s="1">
        <f>B147-B148</f>
        <v>7333</v>
      </c>
      <c r="C149" s="1">
        <f t="shared" ref="C149:M149" si="51">C147-C148</f>
        <v>7385</v>
      </c>
      <c r="D149" s="1">
        <f t="shared" si="51"/>
        <v>6616</v>
      </c>
      <c r="E149" s="1">
        <f t="shared" si="51"/>
        <v>7489</v>
      </c>
      <c r="F149" s="1">
        <f t="shared" si="51"/>
        <v>7541</v>
      </c>
      <c r="G149" s="1">
        <f t="shared" si="51"/>
        <v>7593</v>
      </c>
      <c r="H149" s="1">
        <f t="shared" si="51"/>
        <v>7645</v>
      </c>
      <c r="I149" s="1">
        <f t="shared" si="51"/>
        <v>7697</v>
      </c>
      <c r="J149" s="1">
        <f t="shared" si="51"/>
        <v>7749</v>
      </c>
      <c r="K149" s="1">
        <f t="shared" si="51"/>
        <v>7801</v>
      </c>
      <c r="L149" s="1">
        <f t="shared" si="51"/>
        <v>7853</v>
      </c>
      <c r="M149" s="1">
        <f t="shared" si="51"/>
        <v>7905</v>
      </c>
      <c r="N149" s="1">
        <f t="shared" si="50"/>
        <v>90607</v>
      </c>
      <c r="O149" s="28">
        <f>N149/60</f>
        <v>1510.1166666666666</v>
      </c>
    </row>
    <row r="150" spans="1:15" x14ac:dyDescent="0.3">
      <c r="O150" s="28">
        <f>ABS(N149/60)</f>
        <v>1510.1166666666666</v>
      </c>
    </row>
    <row r="151" spans="1:15" x14ac:dyDescent="0.3">
      <c r="A151" s="30" t="s">
        <v>49</v>
      </c>
      <c r="B151" s="30" t="s">
        <v>36</v>
      </c>
      <c r="C151" s="38" t="s">
        <v>50</v>
      </c>
      <c r="D151" s="38"/>
      <c r="E151" s="38"/>
      <c r="F151" s="38"/>
      <c r="G151" s="38"/>
      <c r="H151" s="38"/>
    </row>
    <row r="152" spans="1:15" x14ac:dyDescent="0.3">
      <c r="A152" s="30"/>
      <c r="B152" s="30"/>
      <c r="C152" s="11" t="s">
        <v>51</v>
      </c>
      <c r="D152" s="30" t="s">
        <v>52</v>
      </c>
      <c r="E152" s="30"/>
      <c r="F152" s="30" t="s">
        <v>52</v>
      </c>
      <c r="G152" s="30"/>
      <c r="H152" s="11" t="s">
        <v>53</v>
      </c>
    </row>
    <row r="153" spans="1:15" x14ac:dyDescent="0.3">
      <c r="A153" s="11">
        <f>'Optimasi From Lingo'!A3</f>
        <v>1</v>
      </c>
      <c r="B153" s="11" t="str">
        <f>'Optimasi From Lingo'!B3</f>
        <v>Januari 2022</v>
      </c>
      <c r="C153" s="12">
        <v>561802.96375228604</v>
      </c>
      <c r="D153" s="39" t="s">
        <v>54</v>
      </c>
      <c r="E153" s="40"/>
      <c r="F153" s="39" t="s">
        <v>54</v>
      </c>
      <c r="G153" s="40"/>
      <c r="H153" s="12">
        <f>C153</f>
        <v>561802.96375228604</v>
      </c>
    </row>
    <row r="154" spans="1:15" x14ac:dyDescent="0.3">
      <c r="A154" s="11">
        <f>'Optimasi From Lingo'!A4</f>
        <v>2</v>
      </c>
      <c r="B154" s="11" t="str">
        <f>'Optimasi From Lingo'!B4</f>
        <v>Februari 2022</v>
      </c>
      <c r="C154" s="12">
        <v>564537.87385685625</v>
      </c>
      <c r="D154" s="39" t="s">
        <v>54</v>
      </c>
      <c r="E154" s="40"/>
      <c r="F154" s="39" t="s">
        <v>54</v>
      </c>
      <c r="G154" s="40"/>
      <c r="H154" s="12">
        <f t="shared" ref="H154:H164" si="52">C154</f>
        <v>564537.87385685625</v>
      </c>
    </row>
    <row r="155" spans="1:15" x14ac:dyDescent="0.3">
      <c r="A155" s="11">
        <f>'Optimasi From Lingo'!A5</f>
        <v>3</v>
      </c>
      <c r="B155" s="11" t="str">
        <f>'Optimasi From Lingo'!B5</f>
        <v>Maret 2022</v>
      </c>
      <c r="C155" s="12">
        <v>567272.78396142647</v>
      </c>
      <c r="D155" s="39" t="s">
        <v>54</v>
      </c>
      <c r="E155" s="40"/>
      <c r="F155" s="39" t="s">
        <v>54</v>
      </c>
      <c r="G155" s="40"/>
      <c r="H155" s="12">
        <f t="shared" si="52"/>
        <v>567272.78396142647</v>
      </c>
    </row>
    <row r="156" spans="1:15" x14ac:dyDescent="0.3">
      <c r="A156" s="11">
        <f>'Optimasi From Lingo'!A6</f>
        <v>4</v>
      </c>
      <c r="B156" s="29">
        <v>44652</v>
      </c>
      <c r="C156" s="12">
        <v>570007.69406599668</v>
      </c>
      <c r="D156" s="39" t="s">
        <v>54</v>
      </c>
      <c r="E156" s="40"/>
      <c r="F156" s="39" t="s">
        <v>54</v>
      </c>
      <c r="G156" s="40"/>
      <c r="H156" s="12">
        <f t="shared" si="52"/>
        <v>570007.69406599668</v>
      </c>
    </row>
    <row r="157" spans="1:15" x14ac:dyDescent="0.3">
      <c r="A157" s="11">
        <f>'Optimasi From Lingo'!A7</f>
        <v>5</v>
      </c>
      <c r="B157" s="11" t="str">
        <f>'Optimasi From Lingo'!B7</f>
        <v>Mei 2022</v>
      </c>
      <c r="C157" s="12">
        <v>572742.60417056677</v>
      </c>
      <c r="D157" s="39" t="s">
        <v>54</v>
      </c>
      <c r="E157" s="40"/>
      <c r="F157" s="39" t="s">
        <v>54</v>
      </c>
      <c r="G157" s="40"/>
      <c r="H157" s="12">
        <f t="shared" si="52"/>
        <v>572742.60417056677</v>
      </c>
    </row>
    <row r="158" spans="1:15" x14ac:dyDescent="0.3">
      <c r="A158" s="11">
        <f>'Optimasi From Lingo'!A8</f>
        <v>6</v>
      </c>
      <c r="B158" s="11" t="str">
        <f>'Optimasi From Lingo'!B8</f>
        <v>Juni 2022</v>
      </c>
      <c r="C158" s="12">
        <v>575477.51427513699</v>
      </c>
      <c r="D158" s="39" t="s">
        <v>54</v>
      </c>
      <c r="E158" s="40"/>
      <c r="F158" s="39" t="s">
        <v>54</v>
      </c>
      <c r="G158" s="40"/>
      <c r="H158" s="12">
        <f t="shared" si="52"/>
        <v>575477.51427513699</v>
      </c>
    </row>
    <row r="159" spans="1:15" x14ac:dyDescent="0.3">
      <c r="A159" s="11">
        <f>'Optimasi From Lingo'!A9</f>
        <v>7</v>
      </c>
      <c r="B159" s="11" t="str">
        <f>'Optimasi From Lingo'!B9</f>
        <v>Juli 2022</v>
      </c>
      <c r="C159" s="12">
        <v>578212.4243797072</v>
      </c>
      <c r="D159" s="39" t="s">
        <v>54</v>
      </c>
      <c r="E159" s="40"/>
      <c r="F159" s="39" t="s">
        <v>54</v>
      </c>
      <c r="G159" s="40"/>
      <c r="H159" s="12">
        <f t="shared" si="52"/>
        <v>578212.4243797072</v>
      </c>
    </row>
    <row r="160" spans="1:15" x14ac:dyDescent="0.3">
      <c r="A160" s="11">
        <f>'Optimasi From Lingo'!A10</f>
        <v>8</v>
      </c>
      <c r="B160" s="11" t="str">
        <f>'Optimasi From Lingo'!B10</f>
        <v>Agustus 2022</v>
      </c>
      <c r="C160" s="12">
        <v>580947.33448427741</v>
      </c>
      <c r="D160" s="39" t="s">
        <v>54</v>
      </c>
      <c r="E160" s="40"/>
      <c r="F160" s="39" t="s">
        <v>54</v>
      </c>
      <c r="G160" s="40"/>
      <c r="H160" s="12">
        <f t="shared" si="52"/>
        <v>580947.33448427741</v>
      </c>
    </row>
    <row r="161" spans="1:8" x14ac:dyDescent="0.3">
      <c r="A161" s="11">
        <f>'Optimasi From Lingo'!A11</f>
        <v>9</v>
      </c>
      <c r="B161" s="29">
        <f>'Optimasi From Lingo'!B11</f>
        <v>44805</v>
      </c>
      <c r="C161" s="12">
        <v>583682.2445888475</v>
      </c>
      <c r="D161" s="39" t="s">
        <v>54</v>
      </c>
      <c r="E161" s="40"/>
      <c r="F161" s="39" t="s">
        <v>54</v>
      </c>
      <c r="G161" s="40"/>
      <c r="H161" s="12">
        <f t="shared" si="52"/>
        <v>583682.2445888475</v>
      </c>
    </row>
    <row r="162" spans="1:8" x14ac:dyDescent="0.3">
      <c r="A162" s="11">
        <f>'Optimasi From Lingo'!A12</f>
        <v>10</v>
      </c>
      <c r="B162" s="11" t="str">
        <f>'Optimasi From Lingo'!B12</f>
        <v>Oktober 2022</v>
      </c>
      <c r="C162" s="12">
        <v>586417.15469341772</v>
      </c>
      <c r="D162" s="39" t="s">
        <v>54</v>
      </c>
      <c r="E162" s="40"/>
      <c r="F162" s="39" t="s">
        <v>54</v>
      </c>
      <c r="G162" s="40"/>
      <c r="H162" s="12">
        <f t="shared" si="52"/>
        <v>586417.15469341772</v>
      </c>
    </row>
    <row r="163" spans="1:8" x14ac:dyDescent="0.3">
      <c r="A163" s="11">
        <f>'Optimasi From Lingo'!A13</f>
        <v>11</v>
      </c>
      <c r="B163" s="29">
        <f>'Optimasi From Lingo'!B13</f>
        <v>44866</v>
      </c>
      <c r="C163" s="12">
        <v>589152.06479798793</v>
      </c>
      <c r="D163" s="39" t="s">
        <v>54</v>
      </c>
      <c r="E163" s="40"/>
      <c r="F163" s="39" t="s">
        <v>54</v>
      </c>
      <c r="G163" s="40"/>
      <c r="H163" s="12">
        <f t="shared" si="52"/>
        <v>589152.06479798793</v>
      </c>
    </row>
    <row r="164" spans="1:8" x14ac:dyDescent="0.3">
      <c r="A164" s="11">
        <f>'Optimasi From Lingo'!A14</f>
        <v>12</v>
      </c>
      <c r="B164" s="11" t="str">
        <f>'Optimasi From Lingo'!B14</f>
        <v>Desember 2022</v>
      </c>
      <c r="C164" s="12">
        <v>591886.97490255814</v>
      </c>
      <c r="D164" s="39" t="s">
        <v>54</v>
      </c>
      <c r="E164" s="40"/>
      <c r="F164" s="39" t="s">
        <v>54</v>
      </c>
      <c r="G164" s="40"/>
      <c r="H164" s="12">
        <f t="shared" si="52"/>
        <v>591886.97490255814</v>
      </c>
    </row>
    <row r="167" spans="1:8" x14ac:dyDescent="0.3">
      <c r="A167" s="30" t="s">
        <v>49</v>
      </c>
      <c r="B167" s="30" t="s">
        <v>36</v>
      </c>
      <c r="C167" s="38" t="s">
        <v>79</v>
      </c>
      <c r="D167" s="38"/>
      <c r="E167" s="38"/>
      <c r="F167" s="38"/>
      <c r="G167" s="38"/>
      <c r="H167" s="38"/>
    </row>
    <row r="168" spans="1:8" x14ac:dyDescent="0.3">
      <c r="A168" s="30"/>
      <c r="B168" s="30"/>
      <c r="C168" s="11" t="s">
        <v>56</v>
      </c>
      <c r="D168" s="30" t="s">
        <v>52</v>
      </c>
      <c r="E168" s="30"/>
      <c r="F168" s="30" t="s">
        <v>52</v>
      </c>
      <c r="G168" s="30"/>
      <c r="H168" s="11" t="s">
        <v>57</v>
      </c>
    </row>
    <row r="169" spans="1:8" x14ac:dyDescent="0.3">
      <c r="A169" s="22">
        <v>1</v>
      </c>
      <c r="B169" s="23" t="s">
        <v>61</v>
      </c>
      <c r="C169" s="26">
        <f>'Jam Kerja Tersedia'!D3</f>
        <v>14040</v>
      </c>
      <c r="D169" s="39">
        <f>B149</f>
        <v>7333</v>
      </c>
      <c r="E169" s="40"/>
      <c r="F169" s="39" t="s">
        <v>54</v>
      </c>
      <c r="G169" s="40"/>
      <c r="H169" s="26">
        <f>C169-D169</f>
        <v>6707</v>
      </c>
    </row>
    <row r="170" spans="1:8" x14ac:dyDescent="0.3">
      <c r="A170" s="25">
        <f>A169+1</f>
        <v>2</v>
      </c>
      <c r="B170" s="23" t="s">
        <v>62</v>
      </c>
      <c r="C170" s="26">
        <f>'Jam Kerja Tersedia'!D4</f>
        <v>14820</v>
      </c>
      <c r="D170" s="39">
        <f>C149</f>
        <v>7385</v>
      </c>
      <c r="E170" s="40"/>
      <c r="F170" s="39" t="s">
        <v>54</v>
      </c>
      <c r="G170" s="40"/>
      <c r="H170" s="26">
        <f t="shared" ref="H170:H180" si="53">C170-D170</f>
        <v>7435</v>
      </c>
    </row>
    <row r="171" spans="1:8" x14ac:dyDescent="0.3">
      <c r="A171" s="25">
        <f t="shared" ref="A171:A180" si="54">A170+1</f>
        <v>3</v>
      </c>
      <c r="B171" s="23" t="s">
        <v>63</v>
      </c>
      <c r="C171" s="26">
        <f>'Jam Kerja Tersedia'!D5</f>
        <v>17160</v>
      </c>
      <c r="D171" s="41">
        <f>D149</f>
        <v>6616</v>
      </c>
      <c r="E171" s="41"/>
      <c r="F171" s="38" t="s">
        <v>54</v>
      </c>
      <c r="G171" s="38"/>
      <c r="H171" s="26">
        <f t="shared" si="53"/>
        <v>10544</v>
      </c>
    </row>
    <row r="172" spans="1:8" x14ac:dyDescent="0.3">
      <c r="A172" s="25">
        <f t="shared" si="54"/>
        <v>4</v>
      </c>
      <c r="B172" s="23">
        <v>44652</v>
      </c>
      <c r="C172" s="26">
        <f>'Jam Kerja Tersedia'!D6</f>
        <v>15600</v>
      </c>
      <c r="D172" s="41">
        <f>E149</f>
        <v>7489</v>
      </c>
      <c r="E172" s="41"/>
      <c r="F172" s="38" t="s">
        <v>54</v>
      </c>
      <c r="G172" s="38"/>
      <c r="H172" s="26">
        <f t="shared" si="53"/>
        <v>8111</v>
      </c>
    </row>
    <row r="173" spans="1:8" x14ac:dyDescent="0.3">
      <c r="A173" s="25">
        <f t="shared" si="54"/>
        <v>5</v>
      </c>
      <c r="B173" s="23" t="s">
        <v>64</v>
      </c>
      <c r="C173" s="26">
        <f>'Jam Kerja Tersedia'!D7</f>
        <v>11700</v>
      </c>
      <c r="D173" s="41">
        <f>F149</f>
        <v>7541</v>
      </c>
      <c r="E173" s="41"/>
      <c r="F173" s="38" t="s">
        <v>54</v>
      </c>
      <c r="G173" s="38"/>
      <c r="H173" s="26">
        <f t="shared" si="53"/>
        <v>4159</v>
      </c>
    </row>
    <row r="174" spans="1:8" x14ac:dyDescent="0.3">
      <c r="A174" s="25">
        <f t="shared" si="54"/>
        <v>6</v>
      </c>
      <c r="B174" s="23" t="s">
        <v>65</v>
      </c>
      <c r="C174" s="26">
        <f>'Jam Kerja Tersedia'!D8</f>
        <v>15600</v>
      </c>
      <c r="D174" s="39">
        <f>G149</f>
        <v>7593</v>
      </c>
      <c r="E174" s="40"/>
      <c r="F174" s="38" t="s">
        <v>54</v>
      </c>
      <c r="G174" s="38"/>
      <c r="H174" s="26">
        <f t="shared" si="53"/>
        <v>8007</v>
      </c>
    </row>
    <row r="175" spans="1:8" x14ac:dyDescent="0.3">
      <c r="A175" s="25">
        <f t="shared" si="54"/>
        <v>7</v>
      </c>
      <c r="B175" s="23" t="s">
        <v>66</v>
      </c>
      <c r="C175" s="26">
        <f>'Jam Kerja Tersedia'!D9</f>
        <v>16380</v>
      </c>
      <c r="D175" s="39">
        <f>H149</f>
        <v>7645</v>
      </c>
      <c r="E175" s="40"/>
      <c r="F175" s="38" t="s">
        <v>54</v>
      </c>
      <c r="G175" s="38"/>
      <c r="H175" s="26">
        <f t="shared" si="53"/>
        <v>8735</v>
      </c>
    </row>
    <row r="176" spans="1:8" x14ac:dyDescent="0.3">
      <c r="A176" s="25">
        <f t="shared" si="54"/>
        <v>8</v>
      </c>
      <c r="B176" s="23" t="s">
        <v>67</v>
      </c>
      <c r="C176" s="26">
        <f>'Jam Kerja Tersedia'!D10</f>
        <v>15600</v>
      </c>
      <c r="D176" s="39">
        <f>I149</f>
        <v>7697</v>
      </c>
      <c r="E176" s="40"/>
      <c r="F176" s="38" t="s">
        <v>54</v>
      </c>
      <c r="G176" s="38"/>
      <c r="H176" s="26">
        <f t="shared" si="53"/>
        <v>7903</v>
      </c>
    </row>
    <row r="177" spans="1:8" x14ac:dyDescent="0.3">
      <c r="A177" s="25">
        <f t="shared" si="54"/>
        <v>9</v>
      </c>
      <c r="B177" s="23">
        <v>44805</v>
      </c>
      <c r="C177" s="26">
        <f>'Jam Kerja Tersedia'!D11</f>
        <v>17160</v>
      </c>
      <c r="D177" s="39">
        <f>J149</f>
        <v>7749</v>
      </c>
      <c r="E177" s="40"/>
      <c r="F177" s="38" t="s">
        <v>54</v>
      </c>
      <c r="G177" s="38"/>
      <c r="H177" s="26">
        <f t="shared" si="53"/>
        <v>9411</v>
      </c>
    </row>
    <row r="178" spans="1:8" x14ac:dyDescent="0.3">
      <c r="A178" s="25">
        <f t="shared" si="54"/>
        <v>10</v>
      </c>
      <c r="B178" s="23" t="s">
        <v>68</v>
      </c>
      <c r="C178" s="26">
        <f>'Jam Kerja Tersedia'!D12</f>
        <v>15600</v>
      </c>
      <c r="D178" s="39">
        <f>K149</f>
        <v>7801</v>
      </c>
      <c r="E178" s="40"/>
      <c r="F178" s="38" t="s">
        <v>54</v>
      </c>
      <c r="G178" s="38"/>
      <c r="H178" s="26">
        <f t="shared" si="53"/>
        <v>7799</v>
      </c>
    </row>
    <row r="179" spans="1:8" x14ac:dyDescent="0.3">
      <c r="A179" s="25">
        <f t="shared" si="54"/>
        <v>11</v>
      </c>
      <c r="B179" s="23">
        <v>44866</v>
      </c>
      <c r="C179" s="26">
        <f>'Jam Kerja Tersedia'!D13</f>
        <v>17160</v>
      </c>
      <c r="D179" s="39">
        <f>L149</f>
        <v>7853</v>
      </c>
      <c r="E179" s="40"/>
      <c r="F179" s="38" t="s">
        <v>54</v>
      </c>
      <c r="G179" s="38"/>
      <c r="H179" s="26">
        <f t="shared" si="53"/>
        <v>9307</v>
      </c>
    </row>
    <row r="180" spans="1:8" x14ac:dyDescent="0.3">
      <c r="A180" s="25">
        <f t="shared" si="54"/>
        <v>12</v>
      </c>
      <c r="B180" s="23" t="s">
        <v>69</v>
      </c>
      <c r="C180" s="26">
        <f>'Jam Kerja Tersedia'!D14</f>
        <v>17940</v>
      </c>
      <c r="D180" s="39">
        <f>M149</f>
        <v>7905</v>
      </c>
      <c r="E180" s="40"/>
      <c r="F180" s="38" t="s">
        <v>54</v>
      </c>
      <c r="G180" s="38"/>
      <c r="H180" s="26">
        <f t="shared" si="53"/>
        <v>10035</v>
      </c>
    </row>
  </sheetData>
  <mergeCells count="94">
    <mergeCell ref="D179:E179"/>
    <mergeCell ref="F179:G179"/>
    <mergeCell ref="D180:E180"/>
    <mergeCell ref="F180:G180"/>
    <mergeCell ref="D176:E176"/>
    <mergeCell ref="F176:G176"/>
    <mergeCell ref="D177:E177"/>
    <mergeCell ref="F177:G177"/>
    <mergeCell ref="D178:E178"/>
    <mergeCell ref="F178:G178"/>
    <mergeCell ref="D173:E173"/>
    <mergeCell ref="F173:G173"/>
    <mergeCell ref="D174:E174"/>
    <mergeCell ref="F174:G174"/>
    <mergeCell ref="D175:E175"/>
    <mergeCell ref="F175:G175"/>
    <mergeCell ref="D170:E170"/>
    <mergeCell ref="F170:G170"/>
    <mergeCell ref="D171:E171"/>
    <mergeCell ref="F171:G171"/>
    <mergeCell ref="D172:E172"/>
    <mergeCell ref="F172:G172"/>
    <mergeCell ref="A167:A168"/>
    <mergeCell ref="B167:B168"/>
    <mergeCell ref="C167:H167"/>
    <mergeCell ref="D168:E168"/>
    <mergeCell ref="F168:G168"/>
    <mergeCell ref="D169:E169"/>
    <mergeCell ref="F169:G169"/>
    <mergeCell ref="F159:G159"/>
    <mergeCell ref="F160:G160"/>
    <mergeCell ref="F161:G161"/>
    <mergeCell ref="F162:G162"/>
    <mergeCell ref="F163:G163"/>
    <mergeCell ref="F164:G164"/>
    <mergeCell ref="D163:E163"/>
    <mergeCell ref="D164:E164"/>
    <mergeCell ref="F153:G153"/>
    <mergeCell ref="F154:G154"/>
    <mergeCell ref="F155:G155"/>
    <mergeCell ref="F156:G156"/>
    <mergeCell ref="F157:G157"/>
    <mergeCell ref="F158:G158"/>
    <mergeCell ref="D159:E159"/>
    <mergeCell ref="D160:E160"/>
    <mergeCell ref="D161:E161"/>
    <mergeCell ref="D162:E162"/>
    <mergeCell ref="D158:E158"/>
    <mergeCell ref="D153:E153"/>
    <mergeCell ref="D154:E154"/>
    <mergeCell ref="D155:E155"/>
    <mergeCell ref="D156:E156"/>
    <mergeCell ref="D157:E157"/>
    <mergeCell ref="G1:G2"/>
    <mergeCell ref="N139:N140"/>
    <mergeCell ref="A151:A152"/>
    <mergeCell ref="B151:B152"/>
    <mergeCell ref="C151:H151"/>
    <mergeCell ref="D152:E152"/>
    <mergeCell ref="F152:G152"/>
    <mergeCell ref="H139:H140"/>
    <mergeCell ref="I139:I140"/>
    <mergeCell ref="J139:J140"/>
    <mergeCell ref="K139:K140"/>
    <mergeCell ref="L139:L140"/>
    <mergeCell ref="M139:M140"/>
    <mergeCell ref="B139:B140"/>
    <mergeCell ref="C139:C140"/>
    <mergeCell ref="D139:D140"/>
    <mergeCell ref="F139:F140"/>
    <mergeCell ref="G139:G140"/>
    <mergeCell ref="A115:A116"/>
    <mergeCell ref="B115:J115"/>
    <mergeCell ref="A123:A124"/>
    <mergeCell ref="B123:M123"/>
    <mergeCell ref="A131:A132"/>
    <mergeCell ref="B131:J131"/>
    <mergeCell ref="E139:E140"/>
    <mergeCell ref="N1:N2"/>
    <mergeCell ref="A10:A11"/>
    <mergeCell ref="B10:B11"/>
    <mergeCell ref="A107:A108"/>
    <mergeCell ref="B107:M107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0EAF-2689-4B3E-9A19-573B4FDA95D2}">
  <dimension ref="A1:AA42"/>
  <sheetViews>
    <sheetView workbookViewId="0">
      <selection activeCell="B1" sqref="B1:I1"/>
    </sheetView>
  </sheetViews>
  <sheetFormatPr defaultColWidth="8.88671875" defaultRowHeight="14.4" x14ac:dyDescent="0.3"/>
  <cols>
    <col min="1" max="1" width="10.33203125" style="1" bestFit="1" customWidth="1"/>
    <col min="2" max="3" width="9.44140625" style="1" bestFit="1" customWidth="1"/>
    <col min="4" max="4" width="8.44140625" style="1" bestFit="1" customWidth="1"/>
    <col min="5" max="5" width="9.44140625" style="1" bestFit="1" customWidth="1"/>
    <col min="6" max="7" width="10.44140625" style="1" bestFit="1" customWidth="1"/>
    <col min="8" max="8" width="8.109375" style="1" bestFit="1" customWidth="1"/>
    <col min="9" max="9" width="7.44140625" style="1" bestFit="1" customWidth="1"/>
    <col min="10" max="10" width="13.6640625" style="1" bestFit="1" customWidth="1"/>
    <col min="11" max="14" width="9.44140625" style="1" bestFit="1" customWidth="1"/>
    <col min="15" max="16" width="11.109375" style="1" bestFit="1" customWidth="1"/>
    <col min="17" max="17" width="8.109375" style="1" bestFit="1" customWidth="1"/>
    <col min="18" max="18" width="7.44140625" style="1" bestFit="1" customWidth="1"/>
    <col min="19" max="19" width="14.109375" style="1" bestFit="1" customWidth="1"/>
    <col min="20" max="22" width="8.44140625" style="1" bestFit="1" customWidth="1"/>
    <col min="23" max="23" width="9.109375" style="1" bestFit="1" customWidth="1"/>
    <col min="24" max="25" width="10.109375" style="1" bestFit="1" customWidth="1"/>
    <col min="26" max="26" width="8.109375" style="1" bestFit="1" customWidth="1"/>
    <col min="27" max="27" width="7.44140625" style="1" bestFit="1" customWidth="1"/>
    <col min="28" max="16384" width="8.88671875" style="1"/>
  </cols>
  <sheetData>
    <row r="1" spans="1:27" x14ac:dyDescent="0.3">
      <c r="A1" s="3" t="str">
        <f>Peramalan!A2</f>
        <v>Oil A 20 LT</v>
      </c>
      <c r="B1" s="3" t="s">
        <v>86</v>
      </c>
      <c r="C1" s="3"/>
      <c r="D1" s="3"/>
      <c r="E1" s="3"/>
      <c r="F1" s="3"/>
      <c r="G1" s="3"/>
      <c r="H1" s="1" t="s">
        <v>28</v>
      </c>
      <c r="I1" s="1" t="s">
        <v>29</v>
      </c>
      <c r="J1" s="3" t="str">
        <f>Peramalan!A3</f>
        <v>Oil A 200 LT</v>
      </c>
      <c r="K1" s="3" t="s">
        <v>86</v>
      </c>
      <c r="L1" s="3"/>
      <c r="M1" s="3"/>
      <c r="N1" s="3"/>
      <c r="O1" s="3"/>
      <c r="P1" s="3"/>
      <c r="Q1" s="1" t="s">
        <v>28</v>
      </c>
      <c r="R1" s="1" t="s">
        <v>29</v>
      </c>
      <c r="S1" s="3" t="str">
        <f>Peramalan!A6</f>
        <v>Oil B 200 LT</v>
      </c>
      <c r="T1" s="3" t="s">
        <v>86</v>
      </c>
      <c r="U1" s="3"/>
      <c r="V1" s="3"/>
      <c r="W1" s="3"/>
      <c r="X1" s="3"/>
      <c r="Y1" s="3"/>
      <c r="Z1" s="1" t="s">
        <v>28</v>
      </c>
      <c r="AA1" s="1" t="s">
        <v>29</v>
      </c>
    </row>
    <row r="2" spans="1:27" x14ac:dyDescent="0.3">
      <c r="A2" s="3" t="s">
        <v>2</v>
      </c>
      <c r="B2" s="7">
        <f>kg!$B$3</f>
        <v>12588.09</v>
      </c>
      <c r="C2" s="7">
        <f>'Single Exponen'!$B$50</f>
        <v>12588.09</v>
      </c>
      <c r="D2" s="7">
        <f>'Double Exponen'!$B$50</f>
        <v>12588.09</v>
      </c>
      <c r="E2" s="7">
        <f>'Konstanta a'!$B$50</f>
        <v>12588.09</v>
      </c>
      <c r="F2" s="7">
        <f>'Konstanta b'!$B$50</f>
        <v>0</v>
      </c>
      <c r="G2" s="7"/>
      <c r="H2" s="7"/>
      <c r="I2" s="7"/>
      <c r="J2" s="3" t="s">
        <v>2</v>
      </c>
      <c r="K2" s="7">
        <f>kg!$B$4</f>
        <v>459915.78</v>
      </c>
      <c r="L2" s="7">
        <f>'Single Exponen'!$B$51</f>
        <v>459915.78</v>
      </c>
      <c r="M2" s="7">
        <f>'Double Exponen'!$B$51</f>
        <v>459915.78</v>
      </c>
      <c r="N2" s="7">
        <f>'Konstanta a'!$B$51</f>
        <v>459915.78</v>
      </c>
      <c r="O2" s="7">
        <f>'Konstanta b'!$B$51</f>
        <v>0</v>
      </c>
      <c r="P2" s="7"/>
      <c r="Q2" s="7"/>
      <c r="R2" s="7"/>
      <c r="S2" s="3" t="s">
        <v>2</v>
      </c>
      <c r="T2" s="7">
        <f>kg!$B$7</f>
        <v>1033.08</v>
      </c>
      <c r="U2" s="7">
        <f>'Single Exponen'!$B$54</f>
        <v>1033.08</v>
      </c>
      <c r="V2" s="7">
        <f>'Double Exponen'!$B$54</f>
        <v>1033.08</v>
      </c>
      <c r="W2" s="7">
        <f>'Konstanta a'!$B$54</f>
        <v>1033.08</v>
      </c>
      <c r="X2" s="7">
        <f>'Konstanta b'!$B$54</f>
        <v>0</v>
      </c>
      <c r="Y2" s="7"/>
      <c r="Z2" s="7"/>
      <c r="AA2" s="7"/>
    </row>
    <row r="3" spans="1:27" x14ac:dyDescent="0.3">
      <c r="A3" s="3" t="s">
        <v>3</v>
      </c>
      <c r="B3" s="7">
        <f>kg!$C$3</f>
        <v>4789.75</v>
      </c>
      <c r="C3" s="7">
        <f>'Single Exponen'!$C$50</f>
        <v>5569.5840000000007</v>
      </c>
      <c r="D3" s="7">
        <f>'Double Exponen'!$C$50</f>
        <v>11886.2394</v>
      </c>
      <c r="E3" s="7">
        <f>'Konstanta a'!$C$50</f>
        <v>-747.0713999999989</v>
      </c>
      <c r="F3" s="7">
        <f>'Konstanta b'!$C$50</f>
        <v>-56849.898599999942</v>
      </c>
      <c r="G3" s="7">
        <f>Peramalan!$C$50</f>
        <v>12588.09</v>
      </c>
      <c r="H3" s="7">
        <f>((B3-G3)/B3)*100</f>
        <v>-162.81309045357273</v>
      </c>
      <c r="I3" s="7">
        <f>ABS((B3-G3)/B3)*100</f>
        <v>162.81309045357273</v>
      </c>
      <c r="J3" s="3" t="s">
        <v>3</v>
      </c>
      <c r="K3" s="7">
        <f>kg!$C$4</f>
        <v>397220.76</v>
      </c>
      <c r="L3" s="7">
        <f>'Single Exponen'!$C$51</f>
        <v>403490.26199999999</v>
      </c>
      <c r="M3" s="7">
        <f>'Double Exponen'!$C$51</f>
        <v>454273.22820000001</v>
      </c>
      <c r="N3" s="7">
        <f>'Konstanta a'!$C$51</f>
        <v>352707.29579999996</v>
      </c>
      <c r="O3" s="7">
        <f>'Konstanta b'!$C$51</f>
        <v>-457046.69579999975</v>
      </c>
      <c r="P3" s="7">
        <f>Peramalan!$C$51</f>
        <v>459915.78</v>
      </c>
      <c r="Q3" s="7">
        <f>((K3-P3)/K3)*100</f>
        <v>-15.783419778966239</v>
      </c>
      <c r="R3" s="7">
        <f>ABS((K3-P3)/K3)*100</f>
        <v>15.783419778966239</v>
      </c>
      <c r="S3" s="3" t="s">
        <v>3</v>
      </c>
      <c r="T3" s="7">
        <f>kg!$C$7</f>
        <v>25477.94</v>
      </c>
      <c r="U3" s="7">
        <f>'Single Exponen'!$C$54</f>
        <v>23033.453999999998</v>
      </c>
      <c r="V3" s="7">
        <f>'Double Exponen'!$C$54</f>
        <v>3233.1174000000001</v>
      </c>
      <c r="W3" s="7">
        <f>'Konstanta a'!$C$54</f>
        <v>42833.790599999993</v>
      </c>
      <c r="X3" s="7">
        <f>'Konstanta b'!$C$54</f>
        <v>178203.02939999982</v>
      </c>
      <c r="Y3" s="7">
        <f>Peramalan!$C$54</f>
        <v>1033.08</v>
      </c>
      <c r="Z3" s="7">
        <f>((T3-Y3)/T3)*100</f>
        <v>95.945198081163554</v>
      </c>
      <c r="AA3" s="7">
        <f>ABS((T3-Y3)/T3)*100</f>
        <v>95.945198081163554</v>
      </c>
    </row>
    <row r="4" spans="1:27" x14ac:dyDescent="0.3">
      <c r="A4" s="3" t="s">
        <v>4</v>
      </c>
      <c r="B4" s="7">
        <f>kg!$D$3</f>
        <v>21025.84</v>
      </c>
      <c r="C4" s="7">
        <f>'Single Exponen'!$D$50</f>
        <v>19480.214399999997</v>
      </c>
      <c r="D4" s="7">
        <f>'Double Exponen'!$D$50</f>
        <v>12645.636900000001</v>
      </c>
      <c r="E4" s="7">
        <f>'Konstanta a'!$D$50</f>
        <v>26314.791899999993</v>
      </c>
      <c r="F4" s="7">
        <f>'Konstanta b'!$D$50</f>
        <v>61511.1974999999</v>
      </c>
      <c r="G4" s="7">
        <f>Peramalan!$D$50</f>
        <v>-57596.969999999943</v>
      </c>
      <c r="H4" s="7">
        <f t="shared" ref="H4:H13" si="0">((B4-G4)/B4)*100</f>
        <v>373.93421618351488</v>
      </c>
      <c r="I4" s="7">
        <f t="shared" ref="I4:I13" si="1">ABS((B4-G4)/B4)*100</f>
        <v>373.93421618351488</v>
      </c>
      <c r="J4" s="3" t="s">
        <v>4</v>
      </c>
      <c r="K4" s="7">
        <f>kg!$D$4</f>
        <v>389238.98</v>
      </c>
      <c r="L4" s="7">
        <f>'Single Exponen'!$D$51</f>
        <v>390664.10819999996</v>
      </c>
      <c r="M4" s="7">
        <f>'Double Exponen'!$D$51</f>
        <v>447912.3162</v>
      </c>
      <c r="N4" s="7">
        <f>'Konstanta a'!$D$51</f>
        <v>333415.90019999992</v>
      </c>
      <c r="O4" s="7">
        <f>'Konstanta b'!$D$51</f>
        <v>-515233.87199999986</v>
      </c>
      <c r="P4" s="7">
        <f>Peramalan!$D$51</f>
        <v>-104339.39999999979</v>
      </c>
      <c r="Q4" s="7">
        <f t="shared" ref="Q4:Q13" si="2">((K4-P4)/K4)*100</f>
        <v>126.8059997485349</v>
      </c>
      <c r="R4" s="7">
        <f t="shared" ref="R4:R13" si="3">ABS((K4-P4)/K4)*100</f>
        <v>126.8059997485349</v>
      </c>
      <c r="S4" s="3" t="s">
        <v>4</v>
      </c>
      <c r="T4" s="7">
        <f>kg!$D$7</f>
        <v>19497.02</v>
      </c>
      <c r="U4" s="7">
        <f>'Single Exponen'!$D$54</f>
        <v>19850.663400000001</v>
      </c>
      <c r="V4" s="7">
        <f>'Double Exponen'!$D$54</f>
        <v>4894.8720000000003</v>
      </c>
      <c r="W4" s="7">
        <f>'Konstanta a'!$D$54</f>
        <v>34806.4548</v>
      </c>
      <c r="X4" s="7">
        <f>'Konstanta b'!$D$54</f>
        <v>134602.12259999989</v>
      </c>
      <c r="Y4" s="7">
        <f>Peramalan!$D$54</f>
        <v>221036.81999999983</v>
      </c>
      <c r="Z4" s="7">
        <f t="shared" ref="Z4:Z13" si="4">((T4-Y4)/T4)*100</f>
        <v>-1033.6954057594435</v>
      </c>
      <c r="AA4" s="7">
        <f t="shared" ref="AA4:AA13" si="5">ABS((T4-Y4)/T4)*100</f>
        <v>1033.6954057594435</v>
      </c>
    </row>
    <row r="5" spans="1:27" x14ac:dyDescent="0.3">
      <c r="A5" s="3" t="s">
        <v>5</v>
      </c>
      <c r="B5" s="7">
        <f>kg!$E$3</f>
        <v>11100.97</v>
      </c>
      <c r="C5" s="7">
        <f>'Single Exponen'!$E$50</f>
        <v>11938.89444</v>
      </c>
      <c r="D5" s="7">
        <f>'Double Exponen'!$E$50</f>
        <v>12574.962654000003</v>
      </c>
      <c r="E5" s="7">
        <f>'Konstanta a'!$E$50</f>
        <v>11302.826225999997</v>
      </c>
      <c r="F5" s="7">
        <f>'Konstanta b'!$E$50</f>
        <v>-5724.6139260000182</v>
      </c>
      <c r="G5" s="7">
        <f>Peramalan!$E$50</f>
        <v>87825.989399999889</v>
      </c>
      <c r="H5" s="7">
        <f t="shared" si="0"/>
        <v>-691.15599267451307</v>
      </c>
      <c r="I5" s="7">
        <f t="shared" si="1"/>
        <v>691.15599267451307</v>
      </c>
      <c r="J5" s="3" t="s">
        <v>5</v>
      </c>
      <c r="K5" s="7">
        <f>kg!$E$4</f>
        <v>505904.1</v>
      </c>
      <c r="L5" s="7">
        <f>'Single Exponen'!$E$51</f>
        <v>494380.10081999999</v>
      </c>
      <c r="M5" s="7">
        <f>'Double Exponen'!$E$51</f>
        <v>452559.09466200002</v>
      </c>
      <c r="N5" s="7">
        <f>'Konstanta a'!$E$51</f>
        <v>536201.10697799991</v>
      </c>
      <c r="O5" s="7">
        <f>'Konstanta b'!$E$51</f>
        <v>376389.05542199942</v>
      </c>
      <c r="P5" s="7">
        <f>Peramalan!$E$51</f>
        <v>-181817.97179999994</v>
      </c>
      <c r="Q5" s="7">
        <f t="shared" si="2"/>
        <v>135.93921689901308</v>
      </c>
      <c r="R5" s="7">
        <f t="shared" si="3"/>
        <v>135.93921689901308</v>
      </c>
      <c r="S5" s="3" t="s">
        <v>5</v>
      </c>
      <c r="T5" s="7">
        <f>kg!$E$7</f>
        <v>18855.900000000001</v>
      </c>
      <c r="U5" s="7">
        <f>'Single Exponen'!$E$54</f>
        <v>18955.376340000003</v>
      </c>
      <c r="V5" s="7">
        <f>'Double Exponen'!$E$54</f>
        <v>6300.9224340000001</v>
      </c>
      <c r="W5" s="7">
        <f>'Konstanta a'!$E$54</f>
        <v>31609.830246000005</v>
      </c>
      <c r="X5" s="7">
        <f>'Konstanta b'!$E$54</f>
        <v>113890.08515399991</v>
      </c>
      <c r="Y5" s="7">
        <f>Peramalan!$E$54</f>
        <v>169408.57739999989</v>
      </c>
      <c r="Z5" s="7">
        <f t="shared" si="4"/>
        <v>-798.43803477956442</v>
      </c>
      <c r="AA5" s="7">
        <f t="shared" si="5"/>
        <v>798.43803477956442</v>
      </c>
    </row>
    <row r="6" spans="1:27" x14ac:dyDescent="0.3">
      <c r="A6" s="3" t="s">
        <v>6</v>
      </c>
      <c r="B6" s="7">
        <f>kg!$F$3</f>
        <v>9095.66</v>
      </c>
      <c r="C6" s="7">
        <f>'Single Exponen'!$F$50</f>
        <v>9379.9834439999995</v>
      </c>
      <c r="D6" s="7">
        <f>'Double Exponen'!$F$50</f>
        <v>12255.464733000004</v>
      </c>
      <c r="E6" s="7">
        <f>'Konstanta a'!$F$50</f>
        <v>6504.5021549999947</v>
      </c>
      <c r="F6" s="7">
        <f>'Konstanta b'!$F$50</f>
        <v>-25879.331601000016</v>
      </c>
      <c r="G6" s="7">
        <f>Peramalan!$F$50</f>
        <v>5578.2122999999792</v>
      </c>
      <c r="H6" s="7">
        <f t="shared" si="0"/>
        <v>38.671714861813442</v>
      </c>
      <c r="I6" s="7">
        <f t="shared" si="1"/>
        <v>38.671714861813442</v>
      </c>
      <c r="J6" s="3" t="s">
        <v>6</v>
      </c>
      <c r="K6" s="7">
        <f>kg!$F$4</f>
        <v>201079.58</v>
      </c>
      <c r="L6" s="7">
        <f>'Single Exponen'!$F$51</f>
        <v>230409.63208200003</v>
      </c>
      <c r="M6" s="7">
        <f>'Double Exponen'!$F$51</f>
        <v>430344.14840400004</v>
      </c>
      <c r="N6" s="7">
        <f>'Konstanta a'!$F$51</f>
        <v>30475.115760000015</v>
      </c>
      <c r="O6" s="7">
        <f>'Konstanta b'!$F$51</f>
        <v>-1799410.6468979984</v>
      </c>
      <c r="P6" s="7">
        <f>Peramalan!$F$51</f>
        <v>912590.16239999933</v>
      </c>
      <c r="Q6" s="7">
        <f t="shared" si="2"/>
        <v>-353.84526981804885</v>
      </c>
      <c r="R6" s="7">
        <f t="shared" si="3"/>
        <v>353.84526981804885</v>
      </c>
      <c r="S6" s="3" t="s">
        <v>6</v>
      </c>
      <c r="T6" s="7">
        <f>kg!$F$7</f>
        <v>26851.599999999999</v>
      </c>
      <c r="U6" s="7">
        <f>'Single Exponen'!$F$54</f>
        <v>26061.977633999995</v>
      </c>
      <c r="V6" s="7">
        <f>'Double Exponen'!$F$54</f>
        <v>8277.027954000001</v>
      </c>
      <c r="W6" s="7">
        <f>'Konstanta a'!$F$54</f>
        <v>43846.927313999986</v>
      </c>
      <c r="X6" s="7">
        <f>'Konstanta b'!$F$54</f>
        <v>160064.5471199998</v>
      </c>
      <c r="Y6" s="7">
        <f>Peramalan!$F$54</f>
        <v>145499.91539999991</v>
      </c>
      <c r="Z6" s="7">
        <f t="shared" si="4"/>
        <v>-441.86683624067058</v>
      </c>
      <c r="AA6" s="7">
        <f t="shared" si="5"/>
        <v>441.86683624067058</v>
      </c>
    </row>
    <row r="7" spans="1:27" x14ac:dyDescent="0.3">
      <c r="A7" s="3" t="s">
        <v>7</v>
      </c>
      <c r="B7" s="7">
        <f>kg!$G$3</f>
        <v>8185.36</v>
      </c>
      <c r="C7" s="7">
        <f>'Single Exponen'!$G$50</f>
        <v>8304.8223443999996</v>
      </c>
      <c r="D7" s="7">
        <f>'Double Exponen'!$G$50</f>
        <v>11860.400494140004</v>
      </c>
      <c r="E7" s="7">
        <f>'Konstanta a'!$G$50</f>
        <v>4749.2441946599956</v>
      </c>
      <c r="F7" s="7">
        <f>'Konstanta b'!$G$50</f>
        <v>-32000.203347660005</v>
      </c>
      <c r="G7" s="7">
        <f>Peramalan!$G$50</f>
        <v>-19374.829446000022</v>
      </c>
      <c r="H7" s="7">
        <f t="shared" si="0"/>
        <v>336.70100577127971</v>
      </c>
      <c r="I7" s="7">
        <f t="shared" si="1"/>
        <v>336.70100577127971</v>
      </c>
      <c r="J7" s="3" t="s">
        <v>7</v>
      </c>
      <c r="K7" s="7">
        <f>kg!$G$4</f>
        <v>378271.8</v>
      </c>
      <c r="L7" s="7">
        <f>'Single Exponen'!$G$51</f>
        <v>363485.58320819994</v>
      </c>
      <c r="M7" s="7">
        <f>'Double Exponen'!$G$51</f>
        <v>423658.29188442003</v>
      </c>
      <c r="N7" s="7">
        <f>'Konstanta a'!$G$51</f>
        <v>303312.87453197985</v>
      </c>
      <c r="O7" s="7">
        <f>'Konstanta b'!$G$51</f>
        <v>-541554.37808598031</v>
      </c>
      <c r="P7" s="7">
        <f>Peramalan!$G$51</f>
        <v>-1768935.5311379984</v>
      </c>
      <c r="Q7" s="7">
        <f t="shared" si="2"/>
        <v>567.63611010336967</v>
      </c>
      <c r="R7" s="7">
        <f t="shared" si="3"/>
        <v>567.63611010336967</v>
      </c>
      <c r="S7" s="3" t="s">
        <v>7</v>
      </c>
      <c r="T7" s="7">
        <f>kg!$G$7</f>
        <v>17468.29</v>
      </c>
      <c r="U7" s="7">
        <f>'Single Exponen'!$G$54</f>
        <v>18327.658763400002</v>
      </c>
      <c r="V7" s="7">
        <f>'Double Exponen'!$G$54</f>
        <v>9282.0910349400019</v>
      </c>
      <c r="W7" s="7">
        <f>'Konstanta a'!$G$54</f>
        <v>27373.226491860005</v>
      </c>
      <c r="X7" s="7">
        <f>'Konstanta b'!$G$54</f>
        <v>81410.109556139927</v>
      </c>
      <c r="Y7" s="7">
        <f>Peramalan!$G$54</f>
        <v>203911.4744339998</v>
      </c>
      <c r="Z7" s="7">
        <f t="shared" si="4"/>
        <v>-1067.3236157288422</v>
      </c>
      <c r="AA7" s="7">
        <f t="shared" si="5"/>
        <v>1067.3236157288422</v>
      </c>
    </row>
    <row r="8" spans="1:27" x14ac:dyDescent="0.3">
      <c r="A8" s="3" t="s">
        <v>8</v>
      </c>
      <c r="B8" s="7">
        <f>kg!$H$3</f>
        <v>18265.400000000001</v>
      </c>
      <c r="C8" s="7">
        <f>'Single Exponen'!$H$50</f>
        <v>17269.342234440002</v>
      </c>
      <c r="D8" s="7">
        <f>'Double Exponen'!$H$50</f>
        <v>12401.294668170003</v>
      </c>
      <c r="E8" s="7">
        <f>'Konstanta a'!$H$50</f>
        <v>22137.38980071</v>
      </c>
      <c r="F8" s="7">
        <f>'Konstanta b'!$H$50</f>
        <v>43812.428096429947</v>
      </c>
      <c r="G8" s="7">
        <f>Peramalan!$H$50</f>
        <v>-27250.959153000011</v>
      </c>
      <c r="H8" s="7">
        <f t="shared" si="0"/>
        <v>249.19442855343991</v>
      </c>
      <c r="I8" s="7">
        <f t="shared" si="1"/>
        <v>249.19442855343991</v>
      </c>
      <c r="J8" s="3" t="s">
        <v>8</v>
      </c>
      <c r="K8" s="7">
        <f>kg!$H$4</f>
        <v>463478.68</v>
      </c>
      <c r="L8" s="7">
        <f>'Single Exponen'!$H$51</f>
        <v>453479.37032082002</v>
      </c>
      <c r="M8" s="7">
        <f>'Double Exponen'!$H$51</f>
        <v>426640.39972806006</v>
      </c>
      <c r="N8" s="7">
        <f>'Konstanta a'!$H$51</f>
        <v>480318.34091357997</v>
      </c>
      <c r="O8" s="7">
        <f>'Konstanta b'!$H$51</f>
        <v>241550.73533483938</v>
      </c>
      <c r="P8" s="7">
        <f>Peramalan!$H$51</f>
        <v>-238241.50355400046</v>
      </c>
      <c r="Q8" s="7">
        <f t="shared" si="2"/>
        <v>151.40290456380873</v>
      </c>
      <c r="R8" s="7">
        <f t="shared" si="3"/>
        <v>151.40290456380873</v>
      </c>
      <c r="S8" s="3" t="s">
        <v>8</v>
      </c>
      <c r="T8" s="7">
        <f>kg!$H$7</f>
        <v>53358.239999999998</v>
      </c>
      <c r="U8" s="7">
        <f>'Single Exponen'!$H$54</f>
        <v>49855.181876339993</v>
      </c>
      <c r="V8" s="7">
        <f>'Double Exponen'!$H$54</f>
        <v>13339.400119080003</v>
      </c>
      <c r="W8" s="7">
        <f>'Konstanta a'!$H$54</f>
        <v>86370.963633599982</v>
      </c>
      <c r="X8" s="7">
        <f>'Konstanta b'!$H$54</f>
        <v>328642.03581533959</v>
      </c>
      <c r="Y8" s="7">
        <f>Peramalan!$H$54</f>
        <v>108783.33604799994</v>
      </c>
      <c r="Z8" s="7">
        <f t="shared" si="4"/>
        <v>-103.87354614395068</v>
      </c>
      <c r="AA8" s="7">
        <f t="shared" si="5"/>
        <v>103.87354614395068</v>
      </c>
    </row>
    <row r="9" spans="1:27" x14ac:dyDescent="0.3">
      <c r="A9" s="3" t="s">
        <v>9</v>
      </c>
      <c r="B9" s="7">
        <f>kg!$I$3</f>
        <v>11044.68</v>
      </c>
      <c r="C9" s="7">
        <f>'Single Exponen'!$I$50</f>
        <v>11667.146223444</v>
      </c>
      <c r="D9" s="7">
        <f>'Double Exponen'!$I$50</f>
        <v>12327.879823697403</v>
      </c>
      <c r="E9" s="7">
        <f>'Konstanta a'!$I$50</f>
        <v>11006.412623190598</v>
      </c>
      <c r="F9" s="7">
        <f>'Konstanta b'!$I$50</f>
        <v>-5946.6024022806214</v>
      </c>
      <c r="G9" s="7">
        <f>Peramalan!$I$50</f>
        <v>65949.817897139947</v>
      </c>
      <c r="H9" s="7">
        <f t="shared" si="0"/>
        <v>-497.11841263975003</v>
      </c>
      <c r="I9" s="7">
        <f t="shared" si="1"/>
        <v>497.11841263975003</v>
      </c>
      <c r="J9" s="3" t="s">
        <v>9</v>
      </c>
      <c r="K9" s="7">
        <f>kg!$I$4</f>
        <v>511860.86</v>
      </c>
      <c r="L9" s="7">
        <f>'Single Exponen'!$I$51</f>
        <v>506022.71103208198</v>
      </c>
      <c r="M9" s="7">
        <f>'Double Exponen'!$I$51</f>
        <v>434578.6308584623</v>
      </c>
      <c r="N9" s="7">
        <f>'Konstanta a'!$I$51</f>
        <v>577466.79120570165</v>
      </c>
      <c r="O9" s="7">
        <f>'Konstanta b'!$I$51</f>
        <v>642996.72156257648</v>
      </c>
      <c r="P9" s="7">
        <f>Peramalan!$I$51</f>
        <v>721869.07624841935</v>
      </c>
      <c r="Q9" s="7">
        <f t="shared" si="2"/>
        <v>-41.028379518687828</v>
      </c>
      <c r="R9" s="7">
        <f t="shared" si="3"/>
        <v>41.028379518687828</v>
      </c>
      <c r="S9" s="3" t="s">
        <v>9</v>
      </c>
      <c r="T9" s="7">
        <f>kg!$I$7</f>
        <v>31973.26</v>
      </c>
      <c r="U9" s="7">
        <f>'Single Exponen'!$I$54</f>
        <v>33761.452187634</v>
      </c>
      <c r="V9" s="7">
        <f>'Double Exponen'!$I$54</f>
        <v>15381.605325935403</v>
      </c>
      <c r="W9" s="7">
        <f>'Konstanta a'!$I$54</f>
        <v>52141.2990493326</v>
      </c>
      <c r="X9" s="7">
        <f>'Konstanta b'!$I$54</f>
        <v>165418.62175528723</v>
      </c>
      <c r="Y9" s="7">
        <f>Peramalan!$I$54</f>
        <v>415012.99944893958</v>
      </c>
      <c r="Z9" s="7">
        <f t="shared" si="4"/>
        <v>-1198.0002647491672</v>
      </c>
      <c r="AA9" s="7">
        <f t="shared" si="5"/>
        <v>1198.0002647491672</v>
      </c>
    </row>
    <row r="10" spans="1:27" x14ac:dyDescent="0.3">
      <c r="A10" s="3" t="s">
        <v>10</v>
      </c>
      <c r="B10" s="7">
        <f>kg!$J$3</f>
        <v>10889.55</v>
      </c>
      <c r="C10" s="7">
        <f>'Single Exponen'!$J$50</f>
        <v>10967.309622344399</v>
      </c>
      <c r="D10" s="7">
        <f>'Double Exponen'!$J$50</f>
        <v>12191.822803562105</v>
      </c>
      <c r="E10" s="7">
        <f>'Konstanta a'!$J$50</f>
        <v>9742.796441126693</v>
      </c>
      <c r="F10" s="7">
        <f>'Konstanta b'!$J$50</f>
        <v>-11020.618630959343</v>
      </c>
      <c r="G10" s="7">
        <f>Peramalan!$J$50</f>
        <v>5059.8102209099761</v>
      </c>
      <c r="H10" s="7">
        <f t="shared" si="0"/>
        <v>53.535176192680353</v>
      </c>
      <c r="I10" s="7">
        <f t="shared" si="1"/>
        <v>53.535176192680353</v>
      </c>
      <c r="J10" s="3" t="s">
        <v>10</v>
      </c>
      <c r="K10" s="7">
        <f>kg!$J$4</f>
        <v>513170.2</v>
      </c>
      <c r="L10" s="7">
        <f>'Single Exponen'!$J$51</f>
        <v>512455.45110320824</v>
      </c>
      <c r="M10" s="7">
        <f>'Double Exponen'!$J$51</f>
        <v>442366.31288293697</v>
      </c>
      <c r="N10" s="7">
        <f>'Konstanta a'!$J$51</f>
        <v>582544.58932347945</v>
      </c>
      <c r="O10" s="7">
        <f>'Konstanta b'!$J$51</f>
        <v>630802.24398244079</v>
      </c>
      <c r="P10" s="7">
        <f>Peramalan!$J$51</f>
        <v>1220463.5127682781</v>
      </c>
      <c r="Q10" s="7">
        <f t="shared" si="2"/>
        <v>-137.8282123101221</v>
      </c>
      <c r="R10" s="7">
        <f t="shared" si="3"/>
        <v>137.8282123101221</v>
      </c>
      <c r="S10" s="3" t="s">
        <v>10</v>
      </c>
      <c r="T10" s="7">
        <f>kg!$J$7</f>
        <v>28522.799999999999</v>
      </c>
      <c r="U10" s="7">
        <f>'Single Exponen'!$J$54</f>
        <v>29046.665218763399</v>
      </c>
      <c r="V10" s="7">
        <f>'Double Exponen'!$J$54</f>
        <v>16748.111315218204</v>
      </c>
      <c r="W10" s="7">
        <f>'Konstanta a'!$J$54</f>
        <v>41345.219122308597</v>
      </c>
      <c r="X10" s="7">
        <f>'Konstanta b'!$J$54</f>
        <v>110686.98513190664</v>
      </c>
      <c r="Y10" s="7">
        <f>Peramalan!$J$54</f>
        <v>217559.92080461982</v>
      </c>
      <c r="Z10" s="7">
        <f t="shared" si="4"/>
        <v>-662.75793682464496</v>
      </c>
      <c r="AA10" s="7">
        <f t="shared" si="5"/>
        <v>662.75793682464496</v>
      </c>
    </row>
    <row r="11" spans="1:27" x14ac:dyDescent="0.3">
      <c r="A11" s="3" t="s">
        <v>11</v>
      </c>
      <c r="B11" s="7">
        <f>kg!$K$3</f>
        <v>8406.34</v>
      </c>
      <c r="C11" s="7">
        <f>'Single Exponen'!$K$50</f>
        <v>8662.4369622344402</v>
      </c>
      <c r="D11" s="7">
        <f>'Double Exponen'!$K$50</f>
        <v>11838.884219429339</v>
      </c>
      <c r="E11" s="7">
        <f>'Konstanta a'!$K$50</f>
        <v>5485.9897050395411</v>
      </c>
      <c r="F11" s="7">
        <f>'Konstanta b'!$K$50</f>
        <v>-28588.025314754064</v>
      </c>
      <c r="G11" s="7">
        <f>Peramalan!$K$50</f>
        <v>-1277.8221898326501</v>
      </c>
      <c r="H11" s="7">
        <f t="shared" si="0"/>
        <v>115.20069602029719</v>
      </c>
      <c r="I11" s="7">
        <f t="shared" si="1"/>
        <v>115.20069602029719</v>
      </c>
      <c r="J11" s="3" t="s">
        <v>11</v>
      </c>
      <c r="K11" s="7">
        <f>kg!$K$4</f>
        <v>525723.46</v>
      </c>
      <c r="L11" s="7">
        <f>'Single Exponen'!$K$51</f>
        <v>524396.65911032085</v>
      </c>
      <c r="M11" s="7">
        <f>'Double Exponen'!$K$51</f>
        <v>450569.3475056754</v>
      </c>
      <c r="N11" s="7">
        <f>'Konstanta a'!$K$51</f>
        <v>598223.9707149663</v>
      </c>
      <c r="O11" s="7">
        <f>'Konstanta b'!$K$51</f>
        <v>664445.80444180837</v>
      </c>
      <c r="P11" s="7">
        <f>Peramalan!$K$51</f>
        <v>1213346.8333059202</v>
      </c>
      <c r="Q11" s="7">
        <f t="shared" si="2"/>
        <v>-130.79564174403029</v>
      </c>
      <c r="R11" s="7">
        <f t="shared" si="3"/>
        <v>130.79564174403029</v>
      </c>
      <c r="S11" s="3" t="s">
        <v>11</v>
      </c>
      <c r="T11" s="7">
        <f>kg!$K$7</f>
        <v>51078.26</v>
      </c>
      <c r="U11" s="7">
        <f>'Single Exponen'!$K$54</f>
        <v>48875.100521876338</v>
      </c>
      <c r="V11" s="7">
        <f>'Double Exponen'!$K$54</f>
        <v>19960.810235884019</v>
      </c>
      <c r="W11" s="7">
        <f>'Konstanta a'!$K$54</f>
        <v>77789.390807868651</v>
      </c>
      <c r="X11" s="7">
        <f>'Konstanta b'!$K$54</f>
        <v>260228.61257393062</v>
      </c>
      <c r="Y11" s="7">
        <f>Peramalan!$K$54</f>
        <v>152032.20425421523</v>
      </c>
      <c r="Z11" s="7">
        <f t="shared" si="4"/>
        <v>-197.64562115901211</v>
      </c>
      <c r="AA11" s="7">
        <f t="shared" si="5"/>
        <v>197.64562115901211</v>
      </c>
    </row>
    <row r="12" spans="1:27" x14ac:dyDescent="0.3">
      <c r="A12" s="3" t="s">
        <v>12</v>
      </c>
      <c r="B12" s="7">
        <f>kg!$L$3</f>
        <v>18149.95</v>
      </c>
      <c r="C12" s="7">
        <f>'Single Exponen'!$L$50</f>
        <v>17201.198696223444</v>
      </c>
      <c r="D12" s="7">
        <f>'Double Exponen'!$L$50</f>
        <v>12375.115667108752</v>
      </c>
      <c r="E12" s="7">
        <f>'Konstanta a'!$L$50</f>
        <v>22027.281725338136</v>
      </c>
      <c r="F12" s="7">
        <f>'Konstanta b'!$L$50</f>
        <v>43434.747262032186</v>
      </c>
      <c r="G12" s="7">
        <f>Peramalan!$L$50</f>
        <v>-23102.035609714523</v>
      </c>
      <c r="H12" s="7">
        <f t="shared" si="0"/>
        <v>227.28429339868441</v>
      </c>
      <c r="I12" s="7">
        <f t="shared" si="1"/>
        <v>227.28429339868441</v>
      </c>
      <c r="J12" s="3" t="s">
        <v>12</v>
      </c>
      <c r="K12" s="7">
        <f>kg!$L$4</f>
        <v>480711.96</v>
      </c>
      <c r="L12" s="7">
        <f>'Single Exponen'!$L$51</f>
        <v>485080.42991103209</v>
      </c>
      <c r="M12" s="7">
        <f>'Double Exponen'!$L$51</f>
        <v>454020.45574621105</v>
      </c>
      <c r="N12" s="7">
        <f>'Konstanta a'!$L$51</f>
        <v>516140.40407585312</v>
      </c>
      <c r="O12" s="7">
        <f>'Konstanta b'!$L$51</f>
        <v>279539.76748338901</v>
      </c>
      <c r="P12" s="7">
        <f>Peramalan!$L$51</f>
        <v>1262669.7751567746</v>
      </c>
      <c r="Q12" s="7">
        <f t="shared" si="2"/>
        <v>-162.66660291888192</v>
      </c>
      <c r="R12" s="7">
        <f t="shared" si="3"/>
        <v>162.66660291888192</v>
      </c>
      <c r="S12" s="3" t="s">
        <v>12</v>
      </c>
      <c r="T12" s="7">
        <f>kg!$L$7</f>
        <v>50149.88</v>
      </c>
      <c r="U12" s="7">
        <f>'Single Exponen'!$L$54</f>
        <v>50022.40205218763</v>
      </c>
      <c r="V12" s="7">
        <f>'Double Exponen'!$L$54</f>
        <v>22966.969417514381</v>
      </c>
      <c r="W12" s="7">
        <f>'Konstanta a'!$L$54</f>
        <v>77077.834686860879</v>
      </c>
      <c r="X12" s="7">
        <f>'Konstanta b'!$L$54</f>
        <v>243498.89371205898</v>
      </c>
      <c r="Y12" s="7">
        <f>Peramalan!$L$54</f>
        <v>338018.00338179927</v>
      </c>
      <c r="Z12" s="7">
        <f t="shared" si="4"/>
        <v>-574.01557766798101</v>
      </c>
      <c r="AA12" s="7">
        <f t="shared" si="5"/>
        <v>574.01557766798101</v>
      </c>
    </row>
    <row r="13" spans="1:27" x14ac:dyDescent="0.3">
      <c r="A13" s="3" t="s">
        <v>13</v>
      </c>
      <c r="B13" s="7">
        <f>kg!$M$3</f>
        <v>11905.39</v>
      </c>
      <c r="C13" s="7">
        <f>'Single Exponen'!$M$50</f>
        <v>12434.970869622344</v>
      </c>
      <c r="D13" s="7">
        <f>'Double Exponen'!$M$50</f>
        <v>12381.101187360111</v>
      </c>
      <c r="E13" s="7">
        <f>'Konstanta a'!$M$50</f>
        <v>12488.840551884578</v>
      </c>
      <c r="F13" s="7">
        <f>'Konstanta b'!$M$50</f>
        <v>484.82714036009884</v>
      </c>
      <c r="G13" s="7">
        <f>Peramalan!$M$50</f>
        <v>65462.028987370322</v>
      </c>
      <c r="H13" s="7">
        <f t="shared" si="0"/>
        <v>-449.85203330063382</v>
      </c>
      <c r="I13" s="7">
        <f t="shared" si="1"/>
        <v>449.85203330063382</v>
      </c>
      <c r="J13" s="3" t="s">
        <v>13</v>
      </c>
      <c r="K13" s="7">
        <f>kg!$M$4</f>
        <v>428532.64</v>
      </c>
      <c r="L13" s="7">
        <f>'Single Exponen'!$M$51</f>
        <v>434187.41899110324</v>
      </c>
      <c r="M13" s="7">
        <f>'Double Exponen'!$M$51</f>
        <v>452037.15207070031</v>
      </c>
      <c r="N13" s="7">
        <f>'Konstanta a'!$M$51</f>
        <v>416337.68591150618</v>
      </c>
      <c r="O13" s="7">
        <f>'Konstanta b'!$M$51</f>
        <v>-160647.59771637342</v>
      </c>
      <c r="P13" s="7">
        <f>Peramalan!$M$51</f>
        <v>795680.17155924207</v>
      </c>
      <c r="Q13" s="7">
        <f t="shared" si="2"/>
        <v>-85.675511568790199</v>
      </c>
      <c r="R13" s="7">
        <f t="shared" si="3"/>
        <v>85.675511568790199</v>
      </c>
      <c r="S13" s="3" t="s">
        <v>13</v>
      </c>
      <c r="T13" s="7">
        <f>kg!$M$7</f>
        <v>42897.42</v>
      </c>
      <c r="U13" s="7">
        <f>'Single Exponen'!$M$54</f>
        <v>43609.918205218761</v>
      </c>
      <c r="V13" s="7">
        <f>'Double Exponen'!$M$54</f>
        <v>25031.264296284822</v>
      </c>
      <c r="W13" s="7">
        <f>'Konstanta a'!$M$54</f>
        <v>62188.572114152703</v>
      </c>
      <c r="X13" s="7">
        <f>'Konstanta b'!$M$54</f>
        <v>167207.88518040528</v>
      </c>
      <c r="Y13" s="7">
        <f>Peramalan!$M$54</f>
        <v>320576.72839891986</v>
      </c>
      <c r="Z13" s="7">
        <f t="shared" si="4"/>
        <v>-647.31004428452786</v>
      </c>
      <c r="AA13" s="7">
        <f t="shared" si="5"/>
        <v>647.31004428452786</v>
      </c>
    </row>
    <row r="14" spans="1:27" x14ac:dyDescent="0.3">
      <c r="H14" s="6">
        <f>(SUM(H3:H13)/12)</f>
        <v>-33.868166507229979</v>
      </c>
      <c r="I14" s="6">
        <f>(SUM(I3:I13)/12)</f>
        <v>266.28842167084827</v>
      </c>
      <c r="Q14" s="6">
        <f>(SUM(Q3:Q13)/12)</f>
        <v>4.5134328047665804</v>
      </c>
      <c r="R14" s="6">
        <f>(SUM(R3:R13)/12)</f>
        <v>159.11727241435449</v>
      </c>
      <c r="Z14" s="6">
        <f>(SUM(Z3:Z13)/12)</f>
        <v>-552.41514043805341</v>
      </c>
      <c r="AA14" s="6">
        <f>(SUM(AA3:AA13)/12)</f>
        <v>568.40600678491398</v>
      </c>
    </row>
    <row r="15" spans="1:27" x14ac:dyDescent="0.3">
      <c r="J15" s="3" t="str">
        <f>Peramalan!A4</f>
        <v>Oil A 1000 LT</v>
      </c>
      <c r="K15" s="3" t="s">
        <v>86</v>
      </c>
      <c r="L15" s="3"/>
      <c r="M15" s="3"/>
      <c r="N15" s="3"/>
      <c r="O15" s="3"/>
      <c r="P15" s="3"/>
      <c r="Q15" s="1" t="s">
        <v>28</v>
      </c>
      <c r="R15" s="1" t="s">
        <v>29</v>
      </c>
    </row>
    <row r="16" spans="1:27" x14ac:dyDescent="0.3">
      <c r="J16" s="3" t="s">
        <v>2</v>
      </c>
      <c r="K16" s="7">
        <f>kg!$B$5</f>
        <v>23458.3</v>
      </c>
      <c r="L16" s="7">
        <f>'Single Exponen'!$B$52</f>
        <v>23458.3</v>
      </c>
      <c r="M16" s="7">
        <f>'Double Exponen'!$B$52</f>
        <v>23458.3</v>
      </c>
      <c r="N16" s="7">
        <f>'Konstanta a'!$B$52</f>
        <v>23458.3</v>
      </c>
      <c r="O16" s="7">
        <f>'Konstanta b'!$B$52</f>
        <v>0</v>
      </c>
      <c r="P16" s="7"/>
      <c r="Q16" s="7"/>
      <c r="R16" s="7"/>
    </row>
    <row r="17" spans="10:18" x14ac:dyDescent="0.3">
      <c r="J17" s="3" t="s">
        <v>3</v>
      </c>
      <c r="K17" s="7">
        <f>kg!$C$5</f>
        <v>42216.6</v>
      </c>
      <c r="L17" s="7">
        <f>'Single Exponen'!$C$52</f>
        <v>40340.769999999997</v>
      </c>
      <c r="M17" s="7">
        <f>'Double Exponen'!$C$52</f>
        <v>25146.546999999999</v>
      </c>
      <c r="N17" s="7">
        <f>'Konstanta a'!$C$52</f>
        <v>55534.992999999995</v>
      </c>
      <c r="O17" s="7">
        <f>'Konstanta b'!$C$52</f>
        <v>136748.00699999984</v>
      </c>
      <c r="P17" s="7">
        <f>Peramalan!$C$52</f>
        <v>23458.3</v>
      </c>
      <c r="Q17" s="7">
        <f>((K17-P17)/K17)*100</f>
        <v>44.433469298806635</v>
      </c>
      <c r="R17" s="7">
        <f>ABS((K17-P17)/K17)*100</f>
        <v>44.433469298806635</v>
      </c>
    </row>
    <row r="18" spans="10:18" x14ac:dyDescent="0.3">
      <c r="J18" s="3" t="s">
        <v>4</v>
      </c>
      <c r="K18" s="7">
        <f>kg!$D$5</f>
        <v>28751.9</v>
      </c>
      <c r="L18" s="7">
        <f>'Single Exponen'!$D$52</f>
        <v>29910.787000000004</v>
      </c>
      <c r="M18" s="7">
        <f>'Double Exponen'!$D$52</f>
        <v>25622.970999999998</v>
      </c>
      <c r="N18" s="7">
        <f>'Konstanta a'!$D$52</f>
        <v>34198.60300000001</v>
      </c>
      <c r="O18" s="7">
        <f>'Konstanta b'!$D$52</f>
        <v>38590.344000000019</v>
      </c>
      <c r="P18" s="7">
        <f>Peramalan!$D$52</f>
        <v>192282.99999999983</v>
      </c>
      <c r="Q18" s="7">
        <f t="shared" ref="Q18:Q27" si="6">((K18-P18)/K18)*100</f>
        <v>-568.76623805731037</v>
      </c>
      <c r="R18" s="7">
        <f t="shared" ref="R18:R27" si="7">ABS((K18-P18)/K18)*100</f>
        <v>568.76623805731037</v>
      </c>
    </row>
    <row r="19" spans="10:18" x14ac:dyDescent="0.3">
      <c r="J19" s="3" t="s">
        <v>5</v>
      </c>
      <c r="K19" s="7">
        <f>kg!$E$5</f>
        <v>39376.9</v>
      </c>
      <c r="L19" s="7">
        <f>'Single Exponen'!$E$52</f>
        <v>38430.288700000005</v>
      </c>
      <c r="M19" s="7">
        <f>'Double Exponen'!$E$52</f>
        <v>26903.70277</v>
      </c>
      <c r="N19" s="7">
        <f>'Konstanta a'!$E$52</f>
        <v>49956.874630000006</v>
      </c>
      <c r="O19" s="7">
        <f>'Konstanta b'!$E$52</f>
        <v>103739.27336999994</v>
      </c>
      <c r="P19" s="7">
        <f>Peramalan!$E$52</f>
        <v>72788.947000000029</v>
      </c>
      <c r="Q19" s="7">
        <f t="shared" si="6"/>
        <v>-84.851897940162957</v>
      </c>
      <c r="R19" s="7">
        <f t="shared" si="7"/>
        <v>84.851897940162957</v>
      </c>
    </row>
    <row r="20" spans="10:18" x14ac:dyDescent="0.3">
      <c r="J20" s="3" t="s">
        <v>6</v>
      </c>
      <c r="K20" s="7">
        <f>kg!$F$5</f>
        <v>23861.599999999999</v>
      </c>
      <c r="L20" s="7">
        <f>'Single Exponen'!$F$52</f>
        <v>25318.468869999997</v>
      </c>
      <c r="M20" s="7">
        <f>'Double Exponen'!$F$52</f>
        <v>26745.179379999998</v>
      </c>
      <c r="N20" s="7">
        <f>'Konstanta a'!$F$52</f>
        <v>23891.758359999996</v>
      </c>
      <c r="O20" s="7">
        <f>'Konstanta b'!$F$52</f>
        <v>-12840.394589999994</v>
      </c>
      <c r="P20" s="7">
        <f>Peramalan!$F$52</f>
        <v>153696.14799999993</v>
      </c>
      <c r="Q20" s="7">
        <f t="shared" si="6"/>
        <v>-544.11501324303458</v>
      </c>
      <c r="R20" s="7">
        <f t="shared" si="7"/>
        <v>544.11501324303458</v>
      </c>
    </row>
    <row r="21" spans="10:18" x14ac:dyDescent="0.3">
      <c r="J21" s="3" t="s">
        <v>7</v>
      </c>
      <c r="K21" s="7">
        <f>kg!$G$5</f>
        <v>57216.9</v>
      </c>
      <c r="L21" s="7">
        <f>'Single Exponen'!$G$52</f>
        <v>54027.056886999999</v>
      </c>
      <c r="M21" s="7">
        <f>'Double Exponen'!$G$52</f>
        <v>29473.367130700004</v>
      </c>
      <c r="N21" s="7">
        <f>'Konstanta a'!$G$52</f>
        <v>78580.746643299994</v>
      </c>
      <c r="O21" s="7">
        <f>'Konstanta b'!$G$52</f>
        <v>220983.20780669973</v>
      </c>
      <c r="P21" s="7">
        <f>Peramalan!$G$52</f>
        <v>11051.363770000002</v>
      </c>
      <c r="Q21" s="7">
        <f t="shared" si="6"/>
        <v>80.685140631526693</v>
      </c>
      <c r="R21" s="7">
        <f t="shared" si="7"/>
        <v>80.685140631526693</v>
      </c>
    </row>
    <row r="22" spans="10:18" x14ac:dyDescent="0.3">
      <c r="J22" s="3" t="s">
        <v>8</v>
      </c>
      <c r="K22" s="7">
        <f>kg!$H$5</f>
        <v>83736.7</v>
      </c>
      <c r="L22" s="7">
        <f>'Single Exponen'!$H$52</f>
        <v>80765.735688699991</v>
      </c>
      <c r="M22" s="7">
        <f>'Double Exponen'!$H$52</f>
        <v>34602.603986500006</v>
      </c>
      <c r="N22" s="7">
        <f>'Konstanta a'!$H$52</f>
        <v>126928.86739089998</v>
      </c>
      <c r="O22" s="7">
        <f>'Konstanta b'!$H$52</f>
        <v>415468.18531979946</v>
      </c>
      <c r="P22" s="7">
        <f>Peramalan!$H$52</f>
        <v>299563.95444999973</v>
      </c>
      <c r="Q22" s="7">
        <f t="shared" si="6"/>
        <v>-257.74511588108885</v>
      </c>
      <c r="R22" s="7">
        <f t="shared" si="7"/>
        <v>257.74511588108885</v>
      </c>
    </row>
    <row r="23" spans="10:18" x14ac:dyDescent="0.3">
      <c r="J23" s="3" t="s">
        <v>9</v>
      </c>
      <c r="K23" s="7">
        <f>kg!$I$5</f>
        <v>54053.2</v>
      </c>
      <c r="L23" s="7">
        <f>'Single Exponen'!$I$52</f>
        <v>56724.453568869998</v>
      </c>
      <c r="M23" s="7">
        <f>'Double Exponen'!$I$52</f>
        <v>36814.788944737011</v>
      </c>
      <c r="N23" s="7">
        <f>'Konstanta a'!$I$52</f>
        <v>76634.118193002985</v>
      </c>
      <c r="O23" s="7">
        <f>'Konstanta b'!$I$52</f>
        <v>179186.9816171967</v>
      </c>
      <c r="P23" s="7">
        <f>Peramalan!$I$52</f>
        <v>542397.05271069938</v>
      </c>
      <c r="Q23" s="7">
        <f t="shared" si="6"/>
        <v>-903.45040203114593</v>
      </c>
      <c r="R23" s="7">
        <f t="shared" si="7"/>
        <v>903.45040203114593</v>
      </c>
    </row>
    <row r="24" spans="10:18" x14ac:dyDescent="0.3">
      <c r="J24" s="3" t="s">
        <v>10</v>
      </c>
      <c r="K24" s="7">
        <f>kg!$J$5</f>
        <v>11264.5</v>
      </c>
      <c r="L24" s="7">
        <f>'Single Exponen'!$J$52</f>
        <v>15810.495356887004</v>
      </c>
      <c r="M24" s="7">
        <f>'Double Exponen'!$J$52</f>
        <v>34714.359585952006</v>
      </c>
      <c r="N24" s="7">
        <f>'Konstanta a'!$J$52</f>
        <v>-3093.3688721779981</v>
      </c>
      <c r="O24" s="7">
        <f>'Konstanta b'!$J$52</f>
        <v>-170134.77806158486</v>
      </c>
      <c r="P24" s="7">
        <f>Peramalan!$J$52</f>
        <v>255821.0998101997</v>
      </c>
      <c r="Q24" s="7">
        <f t="shared" si="6"/>
        <v>-2171.0382157237314</v>
      </c>
      <c r="R24" s="7">
        <f t="shared" si="7"/>
        <v>2171.0382157237314</v>
      </c>
    </row>
    <row r="25" spans="10:18" x14ac:dyDescent="0.3">
      <c r="J25" s="3" t="s">
        <v>11</v>
      </c>
      <c r="K25" s="7">
        <f>kg!$K$5</f>
        <v>24215</v>
      </c>
      <c r="L25" s="7">
        <f>'Single Exponen'!$K$52</f>
        <v>23374.549535688697</v>
      </c>
      <c r="M25" s="7">
        <f>'Double Exponen'!$K$52</f>
        <v>33580.378580925673</v>
      </c>
      <c r="N25" s="7">
        <f>'Konstanta a'!$K$52</f>
        <v>13168.72049045172</v>
      </c>
      <c r="O25" s="7">
        <f>'Konstanta b'!$K$52</f>
        <v>-91852.461407132694</v>
      </c>
      <c r="P25" s="7">
        <f>Peramalan!$K$52</f>
        <v>-173228.14693376285</v>
      </c>
      <c r="Q25" s="7">
        <f t="shared" si="6"/>
        <v>815.37537449416834</v>
      </c>
      <c r="R25" s="7">
        <f t="shared" si="7"/>
        <v>815.37537449416834</v>
      </c>
    </row>
    <row r="26" spans="10:18" x14ac:dyDescent="0.3">
      <c r="J26" s="3" t="s">
        <v>12</v>
      </c>
      <c r="K26" s="7">
        <f>kg!$L$5</f>
        <v>26860.6</v>
      </c>
      <c r="L26" s="7">
        <f>'Single Exponen'!$L$52</f>
        <v>26511.994953568868</v>
      </c>
      <c r="M26" s="7">
        <f>'Double Exponen'!$L$52</f>
        <v>32873.540218189992</v>
      </c>
      <c r="N26" s="7">
        <f>'Konstanta a'!$L$52</f>
        <v>20150.449688947745</v>
      </c>
      <c r="O26" s="7">
        <f>'Konstanta b'!$L$52</f>
        <v>-57253.907381590056</v>
      </c>
      <c r="P26" s="7">
        <f>Peramalan!$L$52</f>
        <v>-78683.740916680981</v>
      </c>
      <c r="Q26" s="7">
        <f t="shared" si="6"/>
        <v>392.93366833459038</v>
      </c>
      <c r="R26" s="7">
        <f t="shared" si="7"/>
        <v>392.93366833459038</v>
      </c>
    </row>
    <row r="27" spans="10:18" x14ac:dyDescent="0.3">
      <c r="J27" s="3" t="s">
        <v>13</v>
      </c>
      <c r="K27" s="7">
        <f>kg!$M$5</f>
        <v>33852.699999999997</v>
      </c>
      <c r="L27" s="7">
        <f>'Single Exponen'!$M$52</f>
        <v>33118.629495356879</v>
      </c>
      <c r="M27" s="7">
        <f>'Double Exponen'!$M$52</f>
        <v>32898.049145906683</v>
      </c>
      <c r="N27" s="7">
        <f>'Konstanta a'!$M$52</f>
        <v>33339.209844807076</v>
      </c>
      <c r="O27" s="7">
        <f>'Konstanta b'!$M$52</f>
        <v>1985.2231450517627</v>
      </c>
      <c r="P27" s="7">
        <f>Peramalan!$M$52</f>
        <v>-37103.457692642311</v>
      </c>
      <c r="Q27" s="7">
        <f t="shared" si="6"/>
        <v>209.60265412402057</v>
      </c>
      <c r="R27" s="7">
        <f t="shared" si="7"/>
        <v>209.60265412402057</v>
      </c>
    </row>
    <row r="28" spans="10:18" x14ac:dyDescent="0.3">
      <c r="Q28" s="6">
        <f>(SUM(Q17:Q27)/12)</f>
        <v>-248.91138133278014</v>
      </c>
      <c r="R28" s="6">
        <f>(SUM(R17:R27)/12)</f>
        <v>506.08309914663226</v>
      </c>
    </row>
    <row r="29" spans="10:18" x14ac:dyDescent="0.3">
      <c r="J29" s="3" t="str">
        <f>Peramalan!A5</f>
        <v>Oil B 20 LT</v>
      </c>
      <c r="K29" s="3" t="s">
        <v>86</v>
      </c>
      <c r="L29" s="3"/>
      <c r="M29" s="3"/>
      <c r="N29" s="3"/>
      <c r="O29" s="3"/>
      <c r="P29" s="3"/>
      <c r="Q29" s="1" t="s">
        <v>28</v>
      </c>
      <c r="R29" s="1" t="s">
        <v>29</v>
      </c>
    </row>
    <row r="30" spans="10:18" x14ac:dyDescent="0.3">
      <c r="J30" s="3" t="s">
        <v>2</v>
      </c>
      <c r="K30" s="7">
        <f>kg!$B$6</f>
        <v>4698.6499999999996</v>
      </c>
      <c r="L30" s="7">
        <f>'Single Exponen'!$B$53</f>
        <v>4698.6499999999996</v>
      </c>
      <c r="M30" s="7">
        <f>'Double Exponen'!$B$53</f>
        <v>4698.6499999999996</v>
      </c>
      <c r="N30" s="7">
        <f>'Konstanta a'!$B$53</f>
        <v>4698.6499999999996</v>
      </c>
      <c r="O30" s="7">
        <f>'Konstanta b'!$B$53</f>
        <v>0</v>
      </c>
      <c r="P30" s="7"/>
      <c r="Q30" s="7"/>
      <c r="R30" s="7"/>
    </row>
    <row r="31" spans="10:18" x14ac:dyDescent="0.3">
      <c r="J31" s="3" t="s">
        <v>3</v>
      </c>
      <c r="K31" s="7">
        <f>kg!$C$6</f>
        <v>8645</v>
      </c>
      <c r="L31" s="7">
        <f>'Single Exponen'!$C$53</f>
        <v>8250.3649999999998</v>
      </c>
      <c r="M31" s="7">
        <f>'Double Exponen'!$C$53</f>
        <v>5053.8215</v>
      </c>
      <c r="N31" s="7">
        <f>'Konstanta a'!$C$53</f>
        <v>11446.9085</v>
      </c>
      <c r="O31" s="7">
        <f>'Konstanta b'!$C$53</f>
        <v>28768.891499999969</v>
      </c>
      <c r="P31" s="7">
        <f>Peramalan!$C$53</f>
        <v>4698.6499999999996</v>
      </c>
      <c r="Q31" s="7">
        <f>((K31-P31)/K31)*100</f>
        <v>45.648930017351077</v>
      </c>
      <c r="R31" s="7">
        <f>ABS((K31-P31)/K31)*100</f>
        <v>45.648930017351077</v>
      </c>
    </row>
    <row r="32" spans="10:18" x14ac:dyDescent="0.3">
      <c r="J32" s="3" t="s">
        <v>4</v>
      </c>
      <c r="K32" s="7">
        <f>kg!$D$6</f>
        <v>7989.45</v>
      </c>
      <c r="L32" s="7">
        <f>'Single Exponen'!$D$53</f>
        <v>8015.5415000000003</v>
      </c>
      <c r="M32" s="7">
        <f>'Double Exponen'!$D$53</f>
        <v>5349.9935000000005</v>
      </c>
      <c r="N32" s="7">
        <f>'Konstanta a'!$D$53</f>
        <v>10681.0895</v>
      </c>
      <c r="O32" s="7">
        <f>'Konstanta b'!$D$53</f>
        <v>23989.931999999975</v>
      </c>
      <c r="P32" s="7">
        <f>Peramalan!$D$53</f>
        <v>40215.799999999967</v>
      </c>
      <c r="Q32" s="7">
        <f t="shared" ref="Q32:Q41" si="8">((K32-P32)/K32)*100</f>
        <v>-403.36130772456136</v>
      </c>
      <c r="R32" s="7">
        <f t="shared" ref="R32:R41" si="9">ABS((K32-P32)/K32)*100</f>
        <v>403.36130772456136</v>
      </c>
    </row>
    <row r="33" spans="10:18" x14ac:dyDescent="0.3">
      <c r="J33" s="3" t="s">
        <v>5</v>
      </c>
      <c r="K33" s="7">
        <f>kg!$E$6</f>
        <v>6543.56</v>
      </c>
      <c r="L33" s="7">
        <f>'Single Exponen'!$E$53</f>
        <v>6690.7581500000006</v>
      </c>
      <c r="M33" s="7">
        <f>'Double Exponen'!$E$53</f>
        <v>5484.0699649999997</v>
      </c>
      <c r="N33" s="7">
        <f>'Konstanta a'!$E$53</f>
        <v>7897.4463350000015</v>
      </c>
      <c r="O33" s="7">
        <f>'Konstanta b'!$E$53</f>
        <v>10860.193664999997</v>
      </c>
      <c r="P33" s="7">
        <f>Peramalan!$E$53</f>
        <v>34671.021499999973</v>
      </c>
      <c r="Q33" s="7">
        <f t="shared" si="8"/>
        <v>-429.84952380661252</v>
      </c>
      <c r="R33" s="7">
        <f t="shared" si="9"/>
        <v>429.84952380661252</v>
      </c>
    </row>
    <row r="34" spans="10:18" x14ac:dyDescent="0.3">
      <c r="J34" s="3" t="s">
        <v>6</v>
      </c>
      <c r="K34" s="7">
        <f>kg!$F$6</f>
        <v>45697.599999999999</v>
      </c>
      <c r="L34" s="7">
        <f>'Single Exponen'!$F$53</f>
        <v>41796.915815</v>
      </c>
      <c r="M34" s="7">
        <f>'Double Exponen'!$F$53</f>
        <v>9115.35455</v>
      </c>
      <c r="N34" s="7">
        <f>'Konstanta a'!$F$53</f>
        <v>74478.477079999997</v>
      </c>
      <c r="O34" s="7">
        <f>'Konstanta b'!$F$53</f>
        <v>294134.05138499971</v>
      </c>
      <c r="P34" s="7">
        <f>Peramalan!$F$53</f>
        <v>18757.64</v>
      </c>
      <c r="Q34" s="7">
        <f t="shared" si="8"/>
        <v>58.952680228283327</v>
      </c>
      <c r="R34" s="7">
        <f t="shared" si="9"/>
        <v>58.952680228283327</v>
      </c>
    </row>
    <row r="35" spans="10:18" x14ac:dyDescent="0.3">
      <c r="J35" s="3" t="s">
        <v>7</v>
      </c>
      <c r="K35" s="7">
        <f>kg!$G$6</f>
        <v>6943.02</v>
      </c>
      <c r="L35" s="7">
        <f>'Single Exponen'!$G$53</f>
        <v>10428.409581500004</v>
      </c>
      <c r="M35" s="7">
        <f>'Double Exponen'!$G$53</f>
        <v>9246.6600531499989</v>
      </c>
      <c r="N35" s="7">
        <f>'Konstanta a'!$G$53</f>
        <v>11610.159109850008</v>
      </c>
      <c r="O35" s="7">
        <f>'Konstanta b'!$G$53</f>
        <v>10635.745755150032</v>
      </c>
      <c r="P35" s="7">
        <f>Peramalan!$G$53</f>
        <v>368612.52846499969</v>
      </c>
      <c r="Q35" s="7">
        <f t="shared" si="8"/>
        <v>-5209.1094144190802</v>
      </c>
      <c r="R35" s="7">
        <f t="shared" si="9"/>
        <v>5209.1094144190802</v>
      </c>
    </row>
    <row r="36" spans="10:18" x14ac:dyDescent="0.3">
      <c r="J36" s="3" t="s">
        <v>8</v>
      </c>
      <c r="K36" s="7">
        <f>kg!$H$6</f>
        <v>8627.7099999999991</v>
      </c>
      <c r="L36" s="7">
        <f>'Single Exponen'!$H$53</f>
        <v>8807.7799581500003</v>
      </c>
      <c r="M36" s="7">
        <f>'Double Exponen'!$H$53</f>
        <v>9202.7720436500003</v>
      </c>
      <c r="N36" s="7">
        <f>'Konstanta a'!$H$53</f>
        <v>8412.7878726500003</v>
      </c>
      <c r="O36" s="7">
        <f>'Konstanta b'!$H$53</f>
        <v>-3554.9287694999966</v>
      </c>
      <c r="P36" s="7">
        <f>Peramalan!$H$53</f>
        <v>22245.90486500004</v>
      </c>
      <c r="Q36" s="7">
        <f t="shared" si="8"/>
        <v>-157.84251979957651</v>
      </c>
      <c r="R36" s="7">
        <f t="shared" si="9"/>
        <v>157.84251979957651</v>
      </c>
    </row>
    <row r="37" spans="10:18" x14ac:dyDescent="0.3">
      <c r="J37" s="3" t="s">
        <v>9</v>
      </c>
      <c r="K37" s="7">
        <f>kg!$I$6</f>
        <v>17194</v>
      </c>
      <c r="L37" s="7">
        <f>'Single Exponen'!$I$53</f>
        <v>16355.377995814999</v>
      </c>
      <c r="M37" s="7">
        <f>'Double Exponen'!$I$53</f>
        <v>9918.0326388665017</v>
      </c>
      <c r="N37" s="7">
        <f>'Konstanta a'!$I$53</f>
        <v>22792.723352763496</v>
      </c>
      <c r="O37" s="7">
        <f>'Konstanta b'!$I$53</f>
        <v>57936.108212536419</v>
      </c>
      <c r="P37" s="7">
        <f>Peramalan!$I$53</f>
        <v>4857.8591031500036</v>
      </c>
      <c r="Q37" s="7">
        <f t="shared" si="8"/>
        <v>71.746777345876438</v>
      </c>
      <c r="R37" s="7">
        <f t="shared" si="9"/>
        <v>71.746777345876438</v>
      </c>
    </row>
    <row r="38" spans="10:18" x14ac:dyDescent="0.3">
      <c r="J38" s="3" t="s">
        <v>10</v>
      </c>
      <c r="K38" s="7">
        <f>kg!$J$6</f>
        <v>17242</v>
      </c>
      <c r="L38" s="7">
        <f>'Single Exponen'!$J$53</f>
        <v>17153.337799581499</v>
      </c>
      <c r="M38" s="7">
        <f>'Double Exponen'!$J$53</f>
        <v>10641.563154938001</v>
      </c>
      <c r="N38" s="7">
        <f>'Konstanta a'!$J$53</f>
        <v>23665.112444224997</v>
      </c>
      <c r="O38" s="7">
        <f>'Konstanta b'!$J$53</f>
        <v>58605.97180179142</v>
      </c>
      <c r="P38" s="7">
        <f>Peramalan!$J$53</f>
        <v>80728.831565299915</v>
      </c>
      <c r="Q38" s="7">
        <f t="shared" si="8"/>
        <v>-368.21036750550934</v>
      </c>
      <c r="R38" s="7">
        <f t="shared" si="9"/>
        <v>368.21036750550934</v>
      </c>
    </row>
    <row r="39" spans="10:18" x14ac:dyDescent="0.3">
      <c r="J39" s="3" t="s">
        <v>11</v>
      </c>
      <c r="K39" s="7">
        <f>kg!$K$6</f>
        <v>35167.199999999997</v>
      </c>
      <c r="L39" s="7">
        <f>'Single Exponen'!$K$53</f>
        <v>33365.813779958145</v>
      </c>
      <c r="M39" s="7">
        <f>'Double Exponen'!$K$53</f>
        <v>12913.988217440015</v>
      </c>
      <c r="N39" s="7">
        <f>'Konstanta a'!$K$53</f>
        <v>53817.639342476279</v>
      </c>
      <c r="O39" s="7">
        <f>'Konstanta b'!$K$53</f>
        <v>184066.43006266298</v>
      </c>
      <c r="P39" s="7">
        <f>Peramalan!$K$53</f>
        <v>82271.084246016413</v>
      </c>
      <c r="Q39" s="7">
        <f t="shared" si="8"/>
        <v>-133.94266318051032</v>
      </c>
      <c r="R39" s="7">
        <f t="shared" si="9"/>
        <v>133.94266318051032</v>
      </c>
    </row>
    <row r="40" spans="10:18" x14ac:dyDescent="0.3">
      <c r="J40" s="3" t="s">
        <v>12</v>
      </c>
      <c r="K40" s="7">
        <f>kg!$L$6</f>
        <v>6543.4</v>
      </c>
      <c r="L40" s="7">
        <f>'Single Exponen'!$L$53</f>
        <v>9225.6413779958166</v>
      </c>
      <c r="M40" s="7">
        <f>'Double Exponen'!$L$53</f>
        <v>12545.153533495597</v>
      </c>
      <c r="N40" s="7">
        <f>'Konstanta a'!$L$53</f>
        <v>5906.1292224960362</v>
      </c>
      <c r="O40" s="7">
        <f>'Konstanta b'!$L$53</f>
        <v>-29875.609399497993</v>
      </c>
      <c r="P40" s="7">
        <f>Peramalan!$L$53</f>
        <v>237884.06940513925</v>
      </c>
      <c r="Q40" s="7">
        <f t="shared" si="8"/>
        <v>-3535.4810863639586</v>
      </c>
      <c r="R40" s="7">
        <f t="shared" si="9"/>
        <v>3535.4810863639586</v>
      </c>
    </row>
    <row r="41" spans="10:18" x14ac:dyDescent="0.3">
      <c r="J41" s="3" t="s">
        <v>13</v>
      </c>
      <c r="K41" s="7">
        <f>kg!$M$6</f>
        <v>8401.5400000000009</v>
      </c>
      <c r="L41" s="7">
        <f>'Single Exponen'!$M$53</f>
        <v>8483.9501377995821</v>
      </c>
      <c r="M41" s="7">
        <f>'Double Exponen'!$M$53</f>
        <v>12139.033193925996</v>
      </c>
      <c r="N41" s="7">
        <f>'Konstanta a'!$M$53</f>
        <v>4828.8670816731683</v>
      </c>
      <c r="O41" s="7">
        <f>'Konstanta b'!$M$53</f>
        <v>-32895.74750513769</v>
      </c>
      <c r="P41" s="7">
        <f>Peramalan!$M$53</f>
        <v>-23969.480177001955</v>
      </c>
      <c r="Q41" s="7">
        <f t="shared" si="8"/>
        <v>385.29864973566691</v>
      </c>
      <c r="R41" s="7">
        <f t="shared" si="9"/>
        <v>385.29864973566691</v>
      </c>
    </row>
    <row r="42" spans="10:18" x14ac:dyDescent="0.3">
      <c r="Q42" s="6">
        <f>(SUM(Q31:Q41)/12)</f>
        <v>-806.34582045605248</v>
      </c>
      <c r="R42" s="6">
        <f>(SUM(R31:R41)/12)</f>
        <v>899.95366001058221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2DA6E-C0D5-4E2A-9E67-3DC53CE96979}">
  <dimension ref="A1:J8"/>
  <sheetViews>
    <sheetView workbookViewId="0">
      <selection activeCell="B3" sqref="B3"/>
    </sheetView>
  </sheetViews>
  <sheetFormatPr defaultColWidth="8.88671875" defaultRowHeight="14.4" x14ac:dyDescent="0.3"/>
  <cols>
    <col min="1" max="1" width="14.109375" style="1" bestFit="1" customWidth="1"/>
    <col min="2" max="9" width="7.44140625" style="1" bestFit="1" customWidth="1"/>
    <col min="10" max="10" width="8.44140625" style="1" bestFit="1" customWidth="1"/>
    <col min="11" max="11" width="7.6640625" style="1" bestFit="1" customWidth="1"/>
    <col min="12" max="12" width="13.6640625" style="1" bestFit="1" customWidth="1"/>
    <col min="13" max="13" width="9.33203125" style="1" bestFit="1" customWidth="1"/>
    <col min="14" max="16384" width="8.88671875" style="1"/>
  </cols>
  <sheetData>
    <row r="1" spans="1:10" x14ac:dyDescent="0.3">
      <c r="A1" s="30" t="s">
        <v>0</v>
      </c>
      <c r="B1" s="30" t="s">
        <v>30</v>
      </c>
      <c r="C1" s="30"/>
      <c r="D1" s="30"/>
      <c r="E1" s="30"/>
      <c r="F1" s="30"/>
      <c r="G1" s="30"/>
      <c r="H1" s="30"/>
      <c r="I1" s="30"/>
      <c r="J1" s="30"/>
    </row>
    <row r="2" spans="1:10" x14ac:dyDescent="0.3">
      <c r="A2" s="30"/>
      <c r="B2" s="11">
        <v>0.1</v>
      </c>
      <c r="C2" s="11">
        <f>+B2+0.1</f>
        <v>0.2</v>
      </c>
      <c r="D2" s="11">
        <f t="shared" ref="D2:J2" si="0">+C2+0.1</f>
        <v>0.30000000000000004</v>
      </c>
      <c r="E2" s="11">
        <f t="shared" si="0"/>
        <v>0.4</v>
      </c>
      <c r="F2" s="11">
        <f t="shared" si="0"/>
        <v>0.5</v>
      </c>
      <c r="G2" s="11">
        <f t="shared" si="0"/>
        <v>0.6</v>
      </c>
      <c r="H2" s="11">
        <f t="shared" si="0"/>
        <v>0.7</v>
      </c>
      <c r="I2" s="11">
        <f t="shared" si="0"/>
        <v>0.79999999999999993</v>
      </c>
      <c r="J2" s="11">
        <f t="shared" si="0"/>
        <v>0.89999999999999991</v>
      </c>
    </row>
    <row r="3" spans="1:10" x14ac:dyDescent="0.3">
      <c r="A3" s="3" t="str">
        <f>kg!A3</f>
        <v>Oil A 20 LT</v>
      </c>
      <c r="B3" s="12">
        <f>'Rekap 0,1'!$I$14</f>
        <v>38.383732432579663</v>
      </c>
      <c r="C3" s="12">
        <f>'Rekap 0,2'!$I$14</f>
        <v>41.194227809855143</v>
      </c>
      <c r="D3" s="12">
        <f>'REKAP 0,3'!$I$14</f>
        <v>44.873483350687074</v>
      </c>
      <c r="E3" s="12">
        <f>'Rekap 0,4'!$I$14</f>
        <v>48.774728833604861</v>
      </c>
      <c r="F3" s="12">
        <f>'Rekap 0,5'!$I$14</f>
        <v>52.549027721443373</v>
      </c>
      <c r="G3" s="12">
        <f>'Rekap 0,6'!$I$14</f>
        <v>69.350188227992277</v>
      </c>
      <c r="H3" s="12">
        <f>'Rekap 0,7'!$I$14</f>
        <v>89.711559308109017</v>
      </c>
      <c r="I3" s="12">
        <f>'Rekap 0,8'!$I$14</f>
        <v>132.23848701326025</v>
      </c>
      <c r="J3" s="12">
        <f>'Rekap 0,9'!$I$14</f>
        <v>266.28842167084827</v>
      </c>
    </row>
    <row r="4" spans="1:10" x14ac:dyDescent="0.3">
      <c r="A4" s="3" t="str">
        <f>kg!A4</f>
        <v>Oil A 200 LT</v>
      </c>
      <c r="B4" s="12">
        <f>'Rekap 0,1'!$R$14</f>
        <v>21.406437012966247</v>
      </c>
      <c r="C4" s="12">
        <f>'Rekap 0,2'!$R$14</f>
        <v>22.525286653205871</v>
      </c>
      <c r="D4" s="12">
        <f>'REKAP 0,3'!$R$14</f>
        <v>24.041771006143133</v>
      </c>
      <c r="E4" s="12">
        <f>'Rekap 0,4'!$R$14</f>
        <v>24.824729834556408</v>
      </c>
      <c r="F4" s="12">
        <f>'Rekap 0,5'!$R$14</f>
        <v>26.206093170230869</v>
      </c>
      <c r="G4" s="12">
        <f>'Rekap 0,6'!$R$14</f>
        <v>44.509549874002694</v>
      </c>
      <c r="H4" s="12">
        <f>'Rekap 0,7'!$R$14</f>
        <v>57.880048310964263</v>
      </c>
      <c r="I4" s="12">
        <f>'Rekap 0,8'!$R$14</f>
        <v>82.527165332137955</v>
      </c>
      <c r="J4" s="12">
        <f>'Rekap 0,9'!$R$14</f>
        <v>159.11727241435449</v>
      </c>
    </row>
    <row r="5" spans="1:10" x14ac:dyDescent="0.3">
      <c r="A5" s="3" t="str">
        <f>kg!A5</f>
        <v>Oil A 1000 LT</v>
      </c>
      <c r="B5" s="12">
        <f>'Rekap 0,1'!$R$28</f>
        <v>57.06188592635943</v>
      </c>
      <c r="C5" s="12">
        <f>'Rekap 0,2'!$R$28</f>
        <v>66.012133889929629</v>
      </c>
      <c r="D5" s="12">
        <f>'REKAP 0,3'!$R$28</f>
        <v>70.841207724987129</v>
      </c>
      <c r="E5" s="12">
        <f>'Rekap 0,4'!$R$28</f>
        <v>73.808121833312626</v>
      </c>
      <c r="F5" s="12">
        <f>'Rekap 0,5'!$R$28</f>
        <v>79.376770889771308</v>
      </c>
      <c r="G5" s="12">
        <f>'Rekap 0,6'!$R$28</f>
        <v>141.00422675140467</v>
      </c>
      <c r="H5" s="12">
        <f>'Rekap 0,7'!$R$28</f>
        <v>188.71656301632262</v>
      </c>
      <c r="I5" s="12">
        <f>'Rekap 0,8'!$R$28</f>
        <v>272.63372282057725</v>
      </c>
      <c r="J5" s="12">
        <f>'Rekap 0,9'!$R$28</f>
        <v>506.08309914663226</v>
      </c>
    </row>
    <row r="6" spans="1:10" x14ac:dyDescent="0.3">
      <c r="A6" s="3" t="str">
        <f>kg!A6</f>
        <v>Oil B 20 LT</v>
      </c>
      <c r="B6" s="12">
        <f>'Rekap 0,1'!$R$42</f>
        <v>61.365617911062969</v>
      </c>
      <c r="C6" s="12">
        <f>'Rekap 0,2'!$R$42</f>
        <v>81.898259211364859</v>
      </c>
      <c r="D6" s="12">
        <f>'REKAP 0,3'!$R$42</f>
        <v>96.829909667046195</v>
      </c>
      <c r="E6" s="12">
        <f>'Rekap 0,4'!$R$42</f>
        <v>108.69108729006838</v>
      </c>
      <c r="F6" s="12">
        <f>'Rekap 0,5'!$R$42</f>
        <v>119.00946385414768</v>
      </c>
      <c r="G6" s="12">
        <f>'Rekap 0,6'!$R$42</f>
        <v>240.98701717304019</v>
      </c>
      <c r="H6" s="12">
        <f>'Rekap 0,7'!$R$42</f>
        <v>312.41514775409786</v>
      </c>
      <c r="I6" s="12">
        <f>'Rekap 0,8'!$R$42</f>
        <v>452.43056129281246</v>
      </c>
      <c r="J6" s="12">
        <f>'Rekap 0,9'!$R$42</f>
        <v>899.95366001058221</v>
      </c>
    </row>
    <row r="7" spans="1:10" x14ac:dyDescent="0.3">
      <c r="A7" s="3" t="str">
        <f>kg!A7</f>
        <v>Oil B 200 LT</v>
      </c>
      <c r="B7" s="12">
        <f>'Rekap 0,1'!$AA$14</f>
        <v>39.960271323560001</v>
      </c>
      <c r="C7" s="12">
        <f>'Rekap 0,2'!$AA$14</f>
        <v>31.905798630624627</v>
      </c>
      <c r="D7" s="12">
        <f>'REKAP 0,3'!$AA$14</f>
        <v>32.332778224081146</v>
      </c>
      <c r="E7" s="12">
        <f>'Rekap 0,4'!$AA$14</f>
        <v>35.135629992119704</v>
      </c>
      <c r="F7" s="12">
        <f>'Rekap 0,5'!$AA$14</f>
        <v>40.503703072898837</v>
      </c>
      <c r="G7" s="12">
        <f>'Rekap 0,6'!$AA$14</f>
        <v>129.47366052661772</v>
      </c>
      <c r="H7" s="12">
        <f>'Rekap 0,7'!$AA$14</f>
        <v>180.68270920534124</v>
      </c>
      <c r="I7" s="12">
        <f>'Rekap 0,8'!$AA$14</f>
        <v>279.96894886338106</v>
      </c>
      <c r="J7" s="12">
        <f>'Rekap 0,9'!$AA$14</f>
        <v>568.40600678491398</v>
      </c>
    </row>
    <row r="8" spans="1:10" x14ac:dyDescent="0.3">
      <c r="B8" s="6">
        <f t="shared" ref="B8:J8" si="1">SUM(B3:B7)</f>
        <v>218.17794460652831</v>
      </c>
      <c r="C8" s="6">
        <f t="shared" si="1"/>
        <v>243.53570619498012</v>
      </c>
      <c r="D8" s="6">
        <f t="shared" si="1"/>
        <v>268.91914997294469</v>
      </c>
      <c r="E8" s="6">
        <f t="shared" si="1"/>
        <v>291.23429778366199</v>
      </c>
      <c r="F8" s="6">
        <f t="shared" si="1"/>
        <v>317.64505870849206</v>
      </c>
      <c r="G8" s="6">
        <f t="shared" si="1"/>
        <v>625.32464255305763</v>
      </c>
      <c r="H8" s="6">
        <f t="shared" si="1"/>
        <v>829.40602759483488</v>
      </c>
      <c r="I8" s="6">
        <f t="shared" si="1"/>
        <v>1219.7988853221689</v>
      </c>
      <c r="J8" s="6">
        <f t="shared" si="1"/>
        <v>2399.8484600273314</v>
      </c>
    </row>
  </sheetData>
  <sortState xmlns:xlrd2="http://schemas.microsoft.com/office/spreadsheetml/2017/richdata2" ref="N8">
    <sortCondition ref="N8"/>
  </sortState>
  <mergeCells count="2">
    <mergeCell ref="A1:A2"/>
    <mergeCell ref="B1:J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5777B-133A-49F8-81D8-698D9CC0DBD5}">
  <dimension ref="A1:M7"/>
  <sheetViews>
    <sheetView workbookViewId="0">
      <selection activeCell="C7" sqref="C7"/>
    </sheetView>
  </sheetViews>
  <sheetFormatPr defaultColWidth="9.44140625" defaultRowHeight="14.4" x14ac:dyDescent="0.3"/>
  <cols>
    <col min="1" max="1" width="14.109375" style="1" bestFit="1" customWidth="1"/>
    <col min="2" max="2" width="7.33203125" style="1" bestFit="1" customWidth="1"/>
    <col min="3" max="3" width="8.44140625" style="1" bestFit="1" customWidth="1"/>
    <col min="4" max="8" width="6.5546875" style="1" bestFit="1" customWidth="1"/>
    <col min="9" max="9" width="8" style="1" bestFit="1" customWidth="1"/>
    <col min="10" max="10" width="10.88671875" style="1" bestFit="1" customWidth="1"/>
    <col min="11" max="11" width="8.33203125" style="1" bestFit="1" customWidth="1"/>
    <col min="12" max="12" width="10.44140625" style="1" bestFit="1" customWidth="1"/>
    <col min="13" max="13" width="10.109375" style="1" bestFit="1" customWidth="1"/>
    <col min="14" max="16384" width="9.44140625" style="1"/>
  </cols>
  <sheetData>
    <row r="1" spans="1:13" x14ac:dyDescent="0.3">
      <c r="A1" s="37" t="s">
        <v>0</v>
      </c>
      <c r="B1" s="30" t="s">
        <v>70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x14ac:dyDescent="0.3">
      <c r="A2" s="30"/>
      <c r="B2" s="26" t="str">
        <f>kg!B1</f>
        <v>Januari</v>
      </c>
      <c r="C2" s="26" t="str">
        <f>kg!C1</f>
        <v>Februari</v>
      </c>
      <c r="D2" s="26" t="str">
        <f>kg!D1</f>
        <v>Maret</v>
      </c>
      <c r="E2" s="26" t="str">
        <f>kg!E1</f>
        <v>April</v>
      </c>
      <c r="F2" s="26" t="str">
        <f>kg!F1</f>
        <v>Mei</v>
      </c>
      <c r="G2" s="26" t="str">
        <f>kg!G1</f>
        <v>Juni</v>
      </c>
      <c r="H2" s="26" t="str">
        <f>kg!H1</f>
        <v>Juli</v>
      </c>
      <c r="I2" s="26" t="str">
        <f>kg!I1</f>
        <v>Agustus</v>
      </c>
      <c r="J2" s="26" t="str">
        <f>kg!J1</f>
        <v>September</v>
      </c>
      <c r="K2" s="26" t="str">
        <f>kg!K1</f>
        <v>Oktober</v>
      </c>
      <c r="L2" s="26" t="str">
        <f>kg!L1</f>
        <v>November</v>
      </c>
      <c r="M2" s="26" t="str">
        <f>kg!M1</f>
        <v>Desember</v>
      </c>
    </row>
    <row r="3" spans="1:13" x14ac:dyDescent="0.3">
      <c r="A3" s="3" t="str">
        <f>'MAPE Double Exponen'!A3</f>
        <v>Oil A 20 LT</v>
      </c>
      <c r="B3" s="7">
        <v>0</v>
      </c>
      <c r="C3" s="7">
        <v>162.81309045357273</v>
      </c>
      <c r="D3" s="7">
        <v>47.54824539709233</v>
      </c>
      <c r="E3" s="7">
        <v>16.655771522668772</v>
      </c>
      <c r="F3" s="7">
        <v>38.550941218119441</v>
      </c>
      <c r="G3" s="7">
        <v>45.434425486478325</v>
      </c>
      <c r="H3" s="7">
        <v>39.070736668236108</v>
      </c>
      <c r="I3" s="7">
        <v>13.063536937059316</v>
      </c>
      <c r="J3" s="7">
        <v>12.048265209838851</v>
      </c>
      <c r="K3" s="7">
        <v>41.88498699632185</v>
      </c>
      <c r="L3" s="7">
        <v>38.301767009871078</v>
      </c>
      <c r="M3" s="7">
        <v>5.2330222916971305</v>
      </c>
    </row>
    <row r="4" spans="1:13" x14ac:dyDescent="0.3">
      <c r="A4" s="3" t="str">
        <f>'MAPE Double Exponen'!A4</f>
        <v>Oil A 200 LT</v>
      </c>
      <c r="B4" s="7">
        <v>0</v>
      </c>
      <c r="C4" s="7">
        <v>15.783419778966239</v>
      </c>
      <c r="D4" s="7">
        <v>14.936272826529356</v>
      </c>
      <c r="E4" s="7">
        <v>13.991156308082909</v>
      </c>
      <c r="F4" s="7">
        <v>122.83232594776656</v>
      </c>
      <c r="G4" s="7">
        <v>5.2607279395397697</v>
      </c>
      <c r="H4" s="7">
        <v>15.590235318094891</v>
      </c>
      <c r="I4" s="7">
        <v>21.364698419969049</v>
      </c>
      <c r="J4" s="7">
        <v>17.780105833576449</v>
      </c>
      <c r="K4" s="7">
        <v>16.529657979063764</v>
      </c>
      <c r="L4" s="7">
        <v>5.1901300639359285</v>
      </c>
      <c r="M4" s="7">
        <v>7.6185137400700391</v>
      </c>
    </row>
    <row r="5" spans="1:13" x14ac:dyDescent="0.3">
      <c r="A5" s="3" t="str">
        <f>'MAPE Double Exponen'!A5</f>
        <v>Oil A 1000 LT</v>
      </c>
      <c r="B5" s="7">
        <v>0</v>
      </c>
      <c r="C5" s="7">
        <v>44.433469298806635</v>
      </c>
      <c r="D5" s="7">
        <v>5.3629151464772837</v>
      </c>
      <c r="E5" s="7">
        <v>29.639125985031846</v>
      </c>
      <c r="F5" s="7">
        <v>26.743919938310928</v>
      </c>
      <c r="G5" s="7">
        <v>48.814888870246385</v>
      </c>
      <c r="H5" s="7">
        <v>58.04885564155262</v>
      </c>
      <c r="I5" s="7">
        <v>16.035787709330794</v>
      </c>
      <c r="J5" s="7">
        <v>327.36204286777053</v>
      </c>
      <c r="K5" s="7">
        <v>72.921820605463566</v>
      </c>
      <c r="L5" s="7">
        <v>45.494215017695083</v>
      </c>
      <c r="M5" s="7">
        <v>9.8855900356275175</v>
      </c>
    </row>
    <row r="6" spans="1:13" x14ac:dyDescent="0.3">
      <c r="A6" s="3" t="str">
        <f>'MAPE Double Exponen'!A6</f>
        <v>Oil B 20 LT</v>
      </c>
      <c r="B6" s="7">
        <v>0</v>
      </c>
      <c r="C6" s="7">
        <v>45.648930017351077</v>
      </c>
      <c r="D6" s="7">
        <v>31.310415610586457</v>
      </c>
      <c r="E6" s="7">
        <v>7.8836367359663537</v>
      </c>
      <c r="F6" s="7">
        <v>86.442740100136547</v>
      </c>
      <c r="G6" s="7">
        <v>104.02406193558417</v>
      </c>
      <c r="H6" s="7">
        <v>52.828609457202433</v>
      </c>
      <c r="I6" s="7">
        <v>26.332061512446199</v>
      </c>
      <c r="J6" s="7">
        <v>19.273696500521968</v>
      </c>
      <c r="K6" s="7">
        <v>57.416013442615544</v>
      </c>
      <c r="L6" s="7">
        <v>197.08226006506555</v>
      </c>
      <c r="M6" s="7">
        <v>108.14498955527931</v>
      </c>
    </row>
    <row r="7" spans="1:13" x14ac:dyDescent="0.3">
      <c r="A7" s="3" t="str">
        <f>'MAPE Double Exponen'!A7</f>
        <v>Oil B 200 LT</v>
      </c>
      <c r="B7" s="7">
        <v>0</v>
      </c>
      <c r="C7" s="7">
        <v>95.945198081163554</v>
      </c>
      <c r="D7" s="7">
        <v>69.625860772569354</v>
      </c>
      <c r="E7" s="7">
        <v>52.898062675342992</v>
      </c>
      <c r="F7" s="7">
        <v>58.078573939727974</v>
      </c>
      <c r="G7" s="7">
        <v>14.957209606664415</v>
      </c>
      <c r="H7" s="7">
        <v>69.987826432056224</v>
      </c>
      <c r="I7" s="7">
        <v>24.484264756299467</v>
      </c>
      <c r="J7" s="7">
        <v>6.2294413262793089</v>
      </c>
      <c r="K7" s="7">
        <v>44.761042531811768</v>
      </c>
      <c r="L7" s="7">
        <v>32.364253007586832</v>
      </c>
      <c r="M7" s="7">
        <v>10.191522753218099</v>
      </c>
    </row>
  </sheetData>
  <mergeCells count="2">
    <mergeCell ref="A1:A2"/>
    <mergeCell ref="B1:M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007F0-02A8-4F75-B332-6B7DC4DCF69E}">
  <dimension ref="A1:Q54"/>
  <sheetViews>
    <sheetView zoomScaleNormal="100" workbookViewId="0">
      <selection activeCell="I3" sqref="I3"/>
    </sheetView>
  </sheetViews>
  <sheetFormatPr defaultColWidth="8.88671875" defaultRowHeight="14.4" x14ac:dyDescent="0.3"/>
  <cols>
    <col min="1" max="1" width="14.33203125" style="6" bestFit="1" customWidth="1"/>
    <col min="2" max="13" width="9.5546875" style="6" bestFit="1" customWidth="1"/>
    <col min="14" max="15" width="8.88671875" style="6"/>
    <col min="16" max="16" width="4.5546875" style="6" bestFit="1" customWidth="1"/>
    <col min="17" max="17" width="4.44140625" style="6" bestFit="1" customWidth="1"/>
    <col min="18" max="16384" width="8.88671875" style="6"/>
  </cols>
  <sheetData>
    <row r="1" spans="1:17" x14ac:dyDescent="0.3">
      <c r="A1" s="7">
        <v>0.1</v>
      </c>
      <c r="B1" s="7" t="str">
        <f>'Double Exponen'!B1</f>
        <v>T1</v>
      </c>
      <c r="C1" s="7" t="str">
        <f>'Double Exponen'!C1</f>
        <v>T2</v>
      </c>
      <c r="D1" s="7" t="str">
        <f>'Double Exponen'!D1</f>
        <v>T3</v>
      </c>
      <c r="E1" s="7" t="str">
        <f>'Double Exponen'!E1</f>
        <v>T4</v>
      </c>
      <c r="F1" s="7" t="str">
        <f>'Double Exponen'!F1</f>
        <v>T5</v>
      </c>
      <c r="G1" s="7" t="str">
        <f>'Double Exponen'!G1</f>
        <v>T6</v>
      </c>
      <c r="H1" s="7" t="str">
        <f>'Double Exponen'!H1</f>
        <v>T7</v>
      </c>
      <c r="I1" s="7" t="str">
        <f>'Double Exponen'!I1</f>
        <v>T8</v>
      </c>
      <c r="J1" s="7" t="str">
        <f>'Double Exponen'!J1</f>
        <v>T9</v>
      </c>
      <c r="K1" s="7" t="str">
        <f>'Double Exponen'!K1</f>
        <v>T10</v>
      </c>
      <c r="L1" s="7" t="str">
        <f>'Double Exponen'!L1</f>
        <v>T11</v>
      </c>
      <c r="M1" s="7" t="str">
        <f>'Double Exponen'!M1</f>
        <v>T12</v>
      </c>
      <c r="P1" s="6">
        <v>0.1</v>
      </c>
      <c r="Q1" s="6">
        <f>1-0.1</f>
        <v>0.9</v>
      </c>
    </row>
    <row r="2" spans="1:17" x14ac:dyDescent="0.3">
      <c r="A2" s="7" t="str">
        <f>'Double Exponen'!A2</f>
        <v>Oil A 20 LT</v>
      </c>
      <c r="B2" s="7">
        <f>'Double Exponen'!B2</f>
        <v>12588.09</v>
      </c>
      <c r="C2" s="7">
        <f>($P$1*'Double Exponen'!C2)+('triple exponen'!$Q$1*'triple exponen'!B2)</f>
        <v>12580.291660000001</v>
      </c>
      <c r="D2" s="7">
        <f>($P$1*'Double Exponen'!D2)+('triple exponen'!$Q$1*'triple exponen'!C2)</f>
        <v>12575.472232</v>
      </c>
      <c r="E2" s="7">
        <f>($P$1*'Double Exponen'!E2)+('triple exponen'!$Q$1*'triple exponen'!D2)</f>
        <v>12571.484872600002</v>
      </c>
      <c r="F2" s="7">
        <f>($P$1*'Double Exponen'!F2)+('triple exponen'!$Q$1*'triple exponen'!E2)</f>
        <v>12564.739912400002</v>
      </c>
      <c r="G2" s="7">
        <f>($P$1*'Double Exponen'!G2)+('triple exponen'!$Q$1*'triple exponen'!F2)</f>
        <v>12551.794140190003</v>
      </c>
      <c r="H2" s="7">
        <f>($P$1*'Double Exponen'!H2)+('triple exponen'!$Q$1*'triple exponen'!G2)</f>
        <v>12540.404063506403</v>
      </c>
      <c r="I2" s="7">
        <f>($P$1*'Double Exponen'!I2)+('triple exponen'!$Q$1*'triple exponen'!H2)</f>
        <v>12528.971286945183</v>
      </c>
      <c r="J2" s="7">
        <f>($P$1*'Double Exponen'!J2)+('triple exponen'!$Q$1*'triple exponen'!I2)</f>
        <v>12516.188078629948</v>
      </c>
      <c r="K2" s="7">
        <f>($P$1*'Double Exponen'!K2)+('triple exponen'!$Q$1*'triple exponen'!J2)</f>
        <v>12498.668487320232</v>
      </c>
      <c r="L2" s="7">
        <f>($P$1*'Double Exponen'!L2)+('triple exponen'!$Q$1*'triple exponen'!K2)</f>
        <v>12483.83790287689</v>
      </c>
      <c r="M2" s="7">
        <f>($P$1*'Double Exponen'!M2)+('triple exponen'!$Q$1*'triple exponen'!L2)</f>
        <v>12470.804412900672</v>
      </c>
      <c r="P2" s="6">
        <f>+P1+0.1</f>
        <v>0.2</v>
      </c>
      <c r="Q2" s="6">
        <f>+Q1-0.1</f>
        <v>0.8</v>
      </c>
    </row>
    <row r="3" spans="1:17" x14ac:dyDescent="0.3">
      <c r="A3" s="7" t="str">
        <f>'Double Exponen'!A3</f>
        <v>Oil A 200 LT</v>
      </c>
      <c r="B3" s="7">
        <f>'Double Exponen'!B3</f>
        <v>459915.78</v>
      </c>
      <c r="C3" s="7">
        <f>($P$1*'Double Exponen'!C3)+('triple exponen'!$Q$1*'triple exponen'!B3)</f>
        <v>459853.08498000004</v>
      </c>
      <c r="D3" s="7">
        <f>($P$1*'Double Exponen'!D3)+('triple exponen'!$Q$1*'triple exponen'!C3)</f>
        <v>459675.82664600009</v>
      </c>
      <c r="E3" s="7">
        <f>($P$1*'Double Exponen'!E3)+('triple exponen'!$Q$1*'triple exponen'!D3)</f>
        <v>459466.24316280009</v>
      </c>
      <c r="F3" s="7">
        <f>($P$1*'Double Exponen'!F3)+('triple exponen'!$Q$1*'triple exponen'!E3)</f>
        <v>458980.57632020011</v>
      </c>
      <c r="G3" s="7">
        <f>($P$1*'Double Exponen'!G3)+('triple exponen'!$Q$1*'triple exponen'!F3)</f>
        <v>458226.53460387012</v>
      </c>
      <c r="H3" s="7">
        <f>($P$1*'Double Exponen'!H3)+('triple exponen'!$Q$1*'triple exponen'!G3)</f>
        <v>457303.2129180443</v>
      </c>
      <c r="I3" s="7">
        <f>($P$1*'Double Exponen'!I3)+('triple exponen'!$Q$1*'triple exponen'!H3)</f>
        <v>456336.89678874111</v>
      </c>
      <c r="J3" s="7">
        <f>($P$1*'Double Exponen'!J3)+('triple exponen'!$Q$1*'triple exponen'!I3)</f>
        <v>455423.12786497473</v>
      </c>
      <c r="K3" s="7">
        <f>($P$1*'Double Exponen'!K3)+('triple exponen'!$Q$1*'triple exponen'!J3)</f>
        <v>454643.55171604513</v>
      </c>
      <c r="L3" s="7">
        <f>($P$1*'Double Exponen'!L3)+('triple exponen'!$Q$1*'triple exponen'!K3)</f>
        <v>454009.69864042551</v>
      </c>
      <c r="M3" s="7">
        <f>($P$1*'Double Exponen'!M3)+('triple exponen'!$Q$1*'triple exponen'!L3)</f>
        <v>453474.34851272579</v>
      </c>
      <c r="P3" s="6">
        <f t="shared" ref="P3:P9" si="0">+P2+0.1</f>
        <v>0.30000000000000004</v>
      </c>
      <c r="Q3" s="6">
        <f t="shared" ref="Q3:Q9" si="1">+Q2-0.1</f>
        <v>0.70000000000000007</v>
      </c>
    </row>
    <row r="4" spans="1:17" x14ac:dyDescent="0.3">
      <c r="A4" s="7" t="str">
        <f>'Double Exponen'!A4</f>
        <v>Oil A 1000 LT</v>
      </c>
      <c r="B4" s="7">
        <f>'Double Exponen'!B4</f>
        <v>23458.3</v>
      </c>
      <c r="C4" s="7">
        <f>($P$1*'Double Exponen'!C4)+('triple exponen'!$Q$1*'triple exponen'!B4)</f>
        <v>23477.058300000001</v>
      </c>
      <c r="D4" s="7">
        <f>($P$1*'Double Exponen'!D4)+('triple exponen'!$Q$1*'triple exponen'!C4)</f>
        <v>23514.241010000002</v>
      </c>
      <c r="E4" s="7">
        <f>($P$1*'Double Exponen'!E4)+('triple exponen'!$Q$1*'triple exponen'!D4)</f>
        <v>23579.676658</v>
      </c>
      <c r="F4" s="7">
        <f>($P$1*'Double Exponen'!F4)+('triple exponen'!$Q$1*'triple exponen'!E4)</f>
        <v>23664.158423000001</v>
      </c>
      <c r="G4" s="7">
        <f>($P$1*'Double Exponen'!G4)+('triple exponen'!$Q$1*'triple exponen'!F4)</f>
        <v>23793.712059450001</v>
      </c>
      <c r="H4" s="7">
        <f>($P$1*'Double Exponen'!H4)+('triple exponen'!$Q$1*'triple exponen'!G4)</f>
        <v>24012.438576307002</v>
      </c>
      <c r="I4" s="7">
        <f>($P$1*'Double Exponen'!I4)+('triple exponen'!$Q$1*'triple exponen'!H4)</f>
        <v>24320.088541932404</v>
      </c>
      <c r="J4" s="7">
        <f>($P$1*'Double Exponen'!J4)+('triple exponen'!$Q$1*'triple exponen'!I4)</f>
        <v>24670.893914130527</v>
      </c>
      <c r="K4" s="7">
        <f>($P$1*'Double Exponen'!K4)+('triple exponen'!$Q$1*'triple exponen'!J4)</f>
        <v>25042.881133384482</v>
      </c>
      <c r="L4" s="7">
        <f>($P$1*'Double Exponen'!L4)+('triple exponen'!$Q$1*'triple exponen'!K4)</f>
        <v>25421.711995869646</v>
      </c>
      <c r="M4" s="7">
        <f>($P$1*'Double Exponen'!M4)+('triple exponen'!$Q$1*'triple exponen'!L4)</f>
        <v>25803.355598124908</v>
      </c>
      <c r="P4" s="6">
        <f t="shared" si="0"/>
        <v>0.4</v>
      </c>
      <c r="Q4" s="6">
        <f t="shared" si="1"/>
        <v>0.60000000000000009</v>
      </c>
    </row>
    <row r="5" spans="1:17" x14ac:dyDescent="0.3">
      <c r="A5" s="7" t="str">
        <f>'Double Exponen'!A5</f>
        <v>Oil B 20 LT</v>
      </c>
      <c r="B5" s="7">
        <f>'Double Exponen'!B5</f>
        <v>4698.6499999999996</v>
      </c>
      <c r="C5" s="7">
        <f>($P$1*'Double Exponen'!C5)+('triple exponen'!$Q$1*'triple exponen'!B5)</f>
        <v>4702.5963499999998</v>
      </c>
      <c r="D5" s="7">
        <f>($P$1*'Double Exponen'!D5)+('triple exponen'!$Q$1*'triple exponen'!C5)</f>
        <v>4712.595945</v>
      </c>
      <c r="E5" s="7">
        <f>($P$1*'Double Exponen'!E5)+('triple exponen'!$Q$1*'triple exponen'!D5)</f>
        <v>4728.5593309999995</v>
      </c>
      <c r="F5" s="7">
        <f>($P$1*'Double Exponen'!F5)+('triple exponen'!$Q$1*'triple exponen'!E5)</f>
        <v>4789.3923864999997</v>
      </c>
      <c r="G5" s="7">
        <f>($P$1*'Double Exponen'!G5)+('triple exponen'!$Q$1*'triple exponen'!F5)</f>
        <v>4883.3857331250001</v>
      </c>
      <c r="H5" s="7">
        <f>($P$1*'Double Exponen'!H5)+('triple exponen'!$Q$1*'triple exponen'!G5)</f>
        <v>5002.6654425415009</v>
      </c>
      <c r="I5" s="7">
        <f>($P$1*'Double Exponen'!I5)+('triple exponen'!$Q$1*'triple exponen'!H5)</f>
        <v>5149.2304131268011</v>
      </c>
      <c r="J5" s="7">
        <f>($P$1*'Double Exponen'!J5)+('triple exponen'!$Q$1*'triple exponen'!I5)</f>
        <v>5323.6752895146419</v>
      </c>
      <c r="K5" s="7">
        <f>($P$1*'Double Exponen'!K5)+('triple exponen'!$Q$1*'triple exponen'!J5)</f>
        <v>5543.4036854041597</v>
      </c>
      <c r="L5" s="7">
        <f>($P$1*'Double Exponen'!L5)+('triple exponen'!$Q$1*'triple exponen'!K5)</f>
        <v>5790.9913682400902</v>
      </c>
      <c r="M5" s="7">
        <f>($P$1*'Double Exponen'!M5)+('triple exponen'!$Q$1*'triple exponen'!L5)</f>
        <v>6054.5665647723081</v>
      </c>
      <c r="P5" s="6">
        <f t="shared" si="0"/>
        <v>0.5</v>
      </c>
      <c r="Q5" s="6">
        <f t="shared" si="1"/>
        <v>0.50000000000000011</v>
      </c>
    </row>
    <row r="6" spans="1:17" x14ac:dyDescent="0.3">
      <c r="A6" s="7" t="str">
        <f>'Double Exponen'!A6</f>
        <v>Oil B 200 LT</v>
      </c>
      <c r="B6" s="7">
        <f>'Double Exponen'!B6</f>
        <v>1033.08</v>
      </c>
      <c r="C6" s="7">
        <f>($P$1*'Double Exponen'!C6)+('triple exponen'!$Q$1*'triple exponen'!B6)</f>
        <v>1057.52486</v>
      </c>
      <c r="D6" s="7">
        <f>($P$1*'Double Exponen'!D6)+('triple exponen'!$Q$1*'triple exponen'!C6)</f>
        <v>1117.5450620000001</v>
      </c>
      <c r="E6" s="7">
        <f>($P$1*'Double Exponen'!E6)+('triple exponen'!$Q$1*'triple exponen'!D6)</f>
        <v>1219.5574776000001</v>
      </c>
      <c r="F6" s="7">
        <f>($P$1*'Double Exponen'!F6)+('triple exponen'!$Q$1*'triple exponen'!E6)</f>
        <v>1374.9579118000001</v>
      </c>
      <c r="G6" s="7">
        <f>($P$1*'Double Exponen'!G6)+('triple exponen'!$Q$1*'triple exponen'!F6)</f>
        <v>1581.0203314900002</v>
      </c>
      <c r="H6" s="7">
        <f>($P$1*'Double Exponen'!H6)+('triple exponen'!$Q$1*'triple exponen'!G6)</f>
        <v>1870.0228105194005</v>
      </c>
      <c r="I6" s="7">
        <f>($P$1*'Double Exponen'!I6)+('triple exponen'!$Q$1*'triple exponen'!H6)</f>
        <v>2241.4997605838807</v>
      </c>
      <c r="J6" s="7">
        <f>($P$1*'Double Exponen'!J6)+('triple exponen'!$Q$1*'triple exponen'!I6)</f>
        <v>2688.9805456705449</v>
      </c>
      <c r="K6" s="7">
        <f>($P$1*'Double Exponen'!K6)+('triple exponen'!$Q$1*'triple exponen'!J6)</f>
        <v>3227.7279439602844</v>
      </c>
      <c r="L6" s="7">
        <f>($P$1*'Double Exponen'!L6)+('triple exponen'!$Q$1*'triple exponen'!K6)</f>
        <v>3864.8459281789924</v>
      </c>
      <c r="M6" s="7">
        <f>($P$1*'Double Exponen'!M6)+('triple exponen'!$Q$1*'triple exponen'!L6)</f>
        <v>4594.8693400536158</v>
      </c>
      <c r="P6" s="6">
        <f t="shared" si="0"/>
        <v>0.6</v>
      </c>
      <c r="Q6" s="6">
        <f t="shared" si="1"/>
        <v>0.40000000000000013</v>
      </c>
    </row>
    <row r="7" spans="1:17" x14ac:dyDescent="0.3">
      <c r="A7" s="6">
        <f>A1+0.1</f>
        <v>0.2</v>
      </c>
      <c r="B7" s="6" t="str">
        <f t="shared" ref="B7:M7" si="2">B1</f>
        <v>T1</v>
      </c>
      <c r="C7" s="6" t="str">
        <f t="shared" si="2"/>
        <v>T2</v>
      </c>
      <c r="D7" s="6" t="str">
        <f t="shared" si="2"/>
        <v>T3</v>
      </c>
      <c r="E7" s="6" t="str">
        <f t="shared" si="2"/>
        <v>T4</v>
      </c>
      <c r="F7" s="6" t="str">
        <f t="shared" si="2"/>
        <v>T5</v>
      </c>
      <c r="G7" s="6" t="str">
        <f t="shared" si="2"/>
        <v>T6</v>
      </c>
      <c r="H7" s="6" t="str">
        <f t="shared" si="2"/>
        <v>T7</v>
      </c>
      <c r="I7" s="6" t="str">
        <f t="shared" si="2"/>
        <v>T8</v>
      </c>
      <c r="J7" s="6" t="str">
        <f t="shared" si="2"/>
        <v>T9</v>
      </c>
      <c r="K7" s="6" t="str">
        <f t="shared" si="2"/>
        <v>T10</v>
      </c>
      <c r="L7" s="6" t="str">
        <f t="shared" si="2"/>
        <v>T11</v>
      </c>
      <c r="M7" s="6" t="str">
        <f t="shared" si="2"/>
        <v>T12</v>
      </c>
      <c r="P7" s="6">
        <f t="shared" si="0"/>
        <v>0.7</v>
      </c>
      <c r="Q7" s="6">
        <f t="shared" si="1"/>
        <v>0.30000000000000016</v>
      </c>
    </row>
    <row r="8" spans="1:17" x14ac:dyDescent="0.3">
      <c r="A8" s="6" t="str">
        <f t="shared" ref="A8:B12" si="3">A2</f>
        <v>Oil A 20 LT</v>
      </c>
      <c r="B8" s="6">
        <f t="shared" si="3"/>
        <v>12588.09</v>
      </c>
      <c r="C8" s="6">
        <f>($P$2*'Double Exponen'!C8)+('triple exponen'!$Q$2*'triple exponen'!B8)</f>
        <v>12525.703280000002</v>
      </c>
      <c r="D8" s="6">
        <f>($P$2*'Double Exponen'!D8)+('triple exponen'!$Q$2*'triple exponen'!C8)</f>
        <v>12505.863872000002</v>
      </c>
      <c r="E8" s="6">
        <f>($P$2*'Double Exponen'!E8)+('triple exponen'!$Q$2*'triple exponen'!D8)</f>
        <v>12498.632835200002</v>
      </c>
      <c r="F8" s="6">
        <f>($P$2*'Double Exponen'!F8)+('triple exponen'!$Q$2*'triple exponen'!E8)</f>
        <v>12471.385529600004</v>
      </c>
      <c r="G8" s="6">
        <f>($P$2*'Double Exponen'!G8)+('triple exponen'!$Q$2*'triple exponen'!F8)</f>
        <v>12402.435409920005</v>
      </c>
      <c r="H8" s="6">
        <f>($P$2*'Double Exponen'!H8)+('triple exponen'!$Q$2*'triple exponen'!G8)</f>
        <v>12366.207978598406</v>
      </c>
      <c r="I8" s="6">
        <f>($P$2*'Double Exponen'!I8)+('triple exponen'!$Q$2*'triple exponen'!H8)</f>
        <v>12339.929992744967</v>
      </c>
      <c r="J8" s="6">
        <f>($P$2*'Double Exponen'!J8)+('triple exponen'!$Q$2*'triple exponen'!I8)</f>
        <v>12309.875993558022</v>
      </c>
      <c r="K8" s="6">
        <f>($P$2*'Double Exponen'!K8)+('triple exponen'!$Q$2*'triple exponen'!J8)</f>
        <v>12249.786003511303</v>
      </c>
      <c r="L8" s="6">
        <f>($P$2*'Double Exponen'!L8)+('triple exponen'!$Q$2*'triple exponen'!K8)</f>
        <v>12227.768257081147</v>
      </c>
      <c r="M8" s="6">
        <f>($P$2*'Double Exponen'!M8)+('triple exponen'!$Q$2*'triple exponen'!L8)</f>
        <v>12224.954318954758</v>
      </c>
      <c r="P8" s="6">
        <f t="shared" si="0"/>
        <v>0.79999999999999993</v>
      </c>
      <c r="Q8" s="6">
        <f t="shared" si="1"/>
        <v>0.20000000000000015</v>
      </c>
    </row>
    <row r="9" spans="1:17" x14ac:dyDescent="0.3">
      <c r="A9" s="6" t="str">
        <f t="shared" si="3"/>
        <v>Oil A 200 LT</v>
      </c>
      <c r="B9" s="6">
        <f t="shared" si="3"/>
        <v>459915.78</v>
      </c>
      <c r="C9" s="6">
        <f>($P$2*'Double Exponen'!C9)+('triple exponen'!$Q$2*'triple exponen'!B9)</f>
        <v>459414.21984000009</v>
      </c>
      <c r="D9" s="6">
        <f>($P$2*'Double Exponen'!D9)+('triple exponen'!$Q$2*'triple exponen'!C9)</f>
        <v>458146.62121600017</v>
      </c>
      <c r="E9" s="6">
        <f>($P$2*'Double Exponen'!E9)+('triple exponen'!$Q$2*'triple exponen'!D9)</f>
        <v>457000.70098560018</v>
      </c>
      <c r="F9" s="6">
        <f>($P$2*'Double Exponen'!F9)+('triple exponen'!$Q$2*'triple exponen'!E9)</f>
        <v>453988.8868288002</v>
      </c>
      <c r="G9" s="6">
        <f>($P$2*'Double Exponen'!G9)+('triple exponen'!$Q$2*'triple exponen'!F9)</f>
        <v>449729.22695936024</v>
      </c>
      <c r="H9" s="6">
        <f>($P$2*'Double Exponen'!H9)+('triple exponen'!$Q$2*'triple exponen'!G9)</f>
        <v>445383.67033579544</v>
      </c>
      <c r="I9" s="6">
        <f>($P$2*'Double Exponen'!I9)+('triple exponen'!$Q$2*'triple exponen'!H9)</f>
        <v>441977.88998028316</v>
      </c>
      <c r="J9" s="6">
        <f>($P$2*'Double Exponen'!J9)+('triple exponen'!$Q$2*'triple exponen'!I9)</f>
        <v>439977.01471114479</v>
      </c>
      <c r="K9" s="6">
        <f>($P$2*'Double Exponen'!K9)+('triple exponen'!$Q$2*'triple exponen'!J9)</f>
        <v>439589.51343653101</v>
      </c>
      <c r="L9" s="6">
        <f>($P$2*'Double Exponen'!L9)+('triple exponen'!$Q$2*'triple exponen'!K9)</f>
        <v>440397.33935218147</v>
      </c>
      <c r="M9" s="6">
        <f>($P$2*'Double Exponen'!M9)+('triple exponen'!$Q$2*'triple exponen'!L9)</f>
        <v>441638.24129920214</v>
      </c>
      <c r="P9" s="6">
        <f t="shared" si="0"/>
        <v>0.89999999999999991</v>
      </c>
      <c r="Q9" s="6">
        <f t="shared" si="1"/>
        <v>0.10000000000000014</v>
      </c>
    </row>
    <row r="10" spans="1:17" x14ac:dyDescent="0.3">
      <c r="A10" s="6" t="str">
        <f t="shared" si="3"/>
        <v>Oil A 1000 LT</v>
      </c>
      <c r="B10" s="6">
        <f t="shared" si="3"/>
        <v>23458.3</v>
      </c>
      <c r="C10" s="6">
        <f>($P$2*'Double Exponen'!C10)+('triple exponen'!$Q$2*'triple exponen'!B10)</f>
        <v>23608.366399999999</v>
      </c>
      <c r="D10" s="6">
        <f>($P$2*'Double Exponen'!D10)+('triple exponen'!$Q$2*'triple exponen'!C10)</f>
        <v>23860.80816</v>
      </c>
      <c r="E10" s="6">
        <f>($P$2*'Double Exponen'!E10)+('triple exponen'!$Q$2*'triple exponen'!D10)</f>
        <v>24263.540896000002</v>
      </c>
      <c r="F10" s="6">
        <f>($P$2*'Double Exponen'!F10)+('triple exponen'!$Q$2*'triple exponen'!E10)</f>
        <v>24698.122880000003</v>
      </c>
      <c r="G10" s="6">
        <f>($P$2*'Double Exponen'!G10)+('triple exponen'!$Q$2*'triple exponen'!F10)</f>
        <v>25363.965369600006</v>
      </c>
      <c r="H10" s="6">
        <f>($P$2*'Double Exponen'!H10)+('triple exponen'!$Q$2*'triple exponen'!G10)</f>
        <v>26545.94749619201</v>
      </c>
      <c r="I10" s="6">
        <f>($P$2*'Double Exponen'!I10)+('triple exponen'!$Q$2*'triple exponen'!H10)</f>
        <v>28089.324995788811</v>
      </c>
      <c r="J10" s="6">
        <f>($P$2*'Double Exponen'!J10)+('triple exponen'!$Q$2*'triple exponen'!I10)</f>
        <v>29522.627066439691</v>
      </c>
      <c r="K10" s="6">
        <f>($P$2*'Double Exponen'!K10)+('triple exponen'!$Q$2*'triple exponen'!J10)</f>
        <v>30708.04608559105</v>
      </c>
      <c r="L10" s="6">
        <f>($P$2*'Double Exponen'!L10)+('triple exponen'!$Q$2*'triple exponen'!K10)</f>
        <v>31612.485835698186</v>
      </c>
      <c r="M10" s="6">
        <f>($P$2*'Double Exponen'!M10)+('triple exponen'!$Q$2*'triple exponen'!L10)</f>
        <v>32296.924179357957</v>
      </c>
    </row>
    <row r="11" spans="1:17" x14ac:dyDescent="0.3">
      <c r="A11" s="6" t="str">
        <f t="shared" si="3"/>
        <v>Oil B 20 LT</v>
      </c>
      <c r="B11" s="6">
        <f t="shared" si="3"/>
        <v>4698.6499999999996</v>
      </c>
      <c r="C11" s="6">
        <f>($P$2*'Double Exponen'!C11)+('triple exponen'!$Q$2*'triple exponen'!B11)</f>
        <v>4730.2208000000001</v>
      </c>
      <c r="D11" s="6">
        <f>($P$2*'Double Exponen'!D11)+('triple exponen'!$Q$2*'triple exponen'!C11)</f>
        <v>4800.7463200000002</v>
      </c>
      <c r="E11" s="6">
        <f>($P$2*'Double Exponen'!E11)+('triple exponen'!$Q$2*'triple exponen'!D11)</f>
        <v>4897.8245120000011</v>
      </c>
      <c r="F11" s="6">
        <f>($P$2*'Double Exponen'!F11)+('triple exponen'!$Q$2*'triple exponen'!E11)</f>
        <v>5324.7997440000017</v>
      </c>
      <c r="G11" s="6">
        <f>($P$2*'Double Exponen'!G11)+('triple exponen'!$Q$2*'triple exponen'!F11)</f>
        <v>5889.2225984000015</v>
      </c>
      <c r="H11" s="6">
        <f>($P$2*'Double Exponen'!H11)+('triple exponen'!$Q$2*'triple exponen'!G11)</f>
        <v>6487.2265578240022</v>
      </c>
      <c r="I11" s="6">
        <f>($P$2*'Double Exponen'!I11)+('triple exponen'!$Q$2*'triple exponen'!H11)</f>
        <v>7125.8858187776023</v>
      </c>
      <c r="J11" s="6">
        <f>($P$2*'Double Exponen'!J11)+('triple exponen'!$Q$2*'triple exponen'!I11)</f>
        <v>7799.868944424963</v>
      </c>
      <c r="K11" s="6">
        <f>($P$2*'Double Exponen'!K11)+('triple exponen'!$Q$2*'triple exponen'!J11)</f>
        <v>8640.7822921728039</v>
      </c>
      <c r="L11" s="6">
        <f>($P$2*'Double Exponen'!L11)+('triple exponen'!$Q$2*'triple exponen'!K11)</f>
        <v>9462.9298671329325</v>
      </c>
      <c r="M11" s="6">
        <f>($P$2*'Double Exponen'!M11)+('triple exponen'!$Q$2*'triple exponen'!L11)</f>
        <v>10181.474899692836</v>
      </c>
    </row>
    <row r="12" spans="1:17" x14ac:dyDescent="0.3">
      <c r="A12" s="6" t="str">
        <f t="shared" si="3"/>
        <v>Oil B 200 LT</v>
      </c>
      <c r="B12" s="6">
        <f t="shared" si="3"/>
        <v>1033.08</v>
      </c>
      <c r="C12" s="6">
        <f>($P$2*'Double Exponen'!C12)+('triple exponen'!$Q$2*'triple exponen'!B12)</f>
        <v>1228.63888</v>
      </c>
      <c r="D12" s="6">
        <f>($P$2*'Double Exponen'!D12)+('triple exponen'!$Q$2*'triple exponen'!C12)</f>
        <v>1650.1328320000002</v>
      </c>
      <c r="E12" s="6">
        <f>($P$2*'Double Exponen'!E12)+('triple exponen'!$Q$2*'triple exponen'!D12)</f>
        <v>2281.1163072000004</v>
      </c>
      <c r="F12" s="6">
        <f>($P$2*'Double Exponen'!F12)+('triple exponen'!$Q$2*'triple exponen'!E12)</f>
        <v>3150.3000064000007</v>
      </c>
      <c r="G12" s="6">
        <f>($P$2*'Double Exponen'!G12)+('triple exponen'!$Q$2*'triple exponen'!F12)</f>
        <v>4165.5910355200012</v>
      </c>
      <c r="H12" s="6">
        <f>($P$2*'Double Exponen'!H12)+('triple exponen'!$Q$2*'triple exponen'!G12)</f>
        <v>5543.6399422464019</v>
      </c>
      <c r="I12" s="6">
        <f>($P$2*'Double Exponen'!I12)+('triple exponen'!$Q$2*'triple exponen'!H12)</f>
        <v>7175.5407564697625</v>
      </c>
      <c r="J12" s="6">
        <f>($P$2*'Double Exponen'!J12)+('triple exponen'!$Q$2*'triple exponen'!I12)</f>
        <v>8938.4741366005801</v>
      </c>
      <c r="K12" s="6">
        <f>($P$2*'Double Exponen'!K12)+('triple exponen'!$Q$2*'triple exponen'!J12)</f>
        <v>10922.269405849604</v>
      </c>
      <c r="L12" s="6">
        <f>($P$2*'Double Exponen'!L12)+('triple exponen'!$Q$2*'triple exponen'!K12)</f>
        <v>13126.652139078455</v>
      </c>
      <c r="M12" s="6">
        <f>($P$2*'Double Exponen'!M12)+('triple exponen'!$Q$2*'triple exponen'!L12)</f>
        <v>15452.885992496551</v>
      </c>
    </row>
    <row r="13" spans="1:17" x14ac:dyDescent="0.3">
      <c r="A13" s="6">
        <f>A7+0.1</f>
        <v>0.30000000000000004</v>
      </c>
      <c r="B13" s="6" t="str">
        <f t="shared" ref="B13:M13" si="4">B7</f>
        <v>T1</v>
      </c>
      <c r="C13" s="6" t="str">
        <f t="shared" si="4"/>
        <v>T2</v>
      </c>
      <c r="D13" s="6" t="str">
        <f t="shared" si="4"/>
        <v>T3</v>
      </c>
      <c r="E13" s="6" t="str">
        <f t="shared" si="4"/>
        <v>T4</v>
      </c>
      <c r="F13" s="6" t="str">
        <f t="shared" si="4"/>
        <v>T5</v>
      </c>
      <c r="G13" s="6" t="str">
        <f t="shared" si="4"/>
        <v>T6</v>
      </c>
      <c r="H13" s="6" t="str">
        <f t="shared" si="4"/>
        <v>T7</v>
      </c>
      <c r="I13" s="6" t="str">
        <f t="shared" si="4"/>
        <v>T8</v>
      </c>
      <c r="J13" s="6" t="str">
        <f t="shared" si="4"/>
        <v>T9</v>
      </c>
      <c r="K13" s="6" t="str">
        <f t="shared" si="4"/>
        <v>T10</v>
      </c>
      <c r="L13" s="6" t="str">
        <f t="shared" si="4"/>
        <v>T11</v>
      </c>
      <c r="M13" s="6" t="str">
        <f t="shared" si="4"/>
        <v>T12</v>
      </c>
    </row>
    <row r="14" spans="1:17" x14ac:dyDescent="0.3">
      <c r="A14" s="6" t="str">
        <f t="shared" ref="A14:B18" si="5">A8</f>
        <v>Oil A 20 LT</v>
      </c>
      <c r="B14" s="6">
        <f t="shared" si="5"/>
        <v>12588.09</v>
      </c>
      <c r="C14" s="6">
        <f>($P$3*'Double Exponen'!C14)+('triple exponen'!$Q$3*'triple exponen'!B14)</f>
        <v>12377.534820000001</v>
      </c>
      <c r="D14" s="6">
        <f>($P$3*'Double Exponen'!D14)+('triple exponen'!$Q$3*'triple exponen'!C14)</f>
        <v>12373.743372000001</v>
      </c>
      <c r="E14" s="6">
        <f>($P$3*'Double Exponen'!E14)+('triple exponen'!$Q$3*'triple exponen'!D14)</f>
        <v>12407.325955800003</v>
      </c>
      <c r="F14" s="6">
        <f>($P$3*'Double Exponen'!F14)+('triple exponen'!$Q$3*'triple exponen'!E14)</f>
        <v>12357.059013600003</v>
      </c>
      <c r="G14" s="6">
        <f>($P$3*'Double Exponen'!G14)+('triple exponen'!$Q$3*'triple exponen'!F14)</f>
        <v>12176.253470130003</v>
      </c>
      <c r="H14" s="6">
        <f>($P$3*'Double Exponen'!H14)+('triple exponen'!$Q$3*'triple exponen'!G14)</f>
        <v>12154.134140120401</v>
      </c>
      <c r="I14" s="6">
        <f>($P$3*'Double Exponen'!I14)+('triple exponen'!$Q$3*'triple exponen'!H14)</f>
        <v>12161.26669482654</v>
      </c>
      <c r="J14" s="6">
        <f>($P$3*'Double Exponen'!J14)+('triple exponen'!$Q$3*'triple exponen'!I14)</f>
        <v>12142.555663413335</v>
      </c>
      <c r="K14" s="6">
        <f>($P$3*'Double Exponen'!K14)+('triple exponen'!$Q$3*'triple exponen'!J14)</f>
        <v>12018.14404183429</v>
      </c>
      <c r="L14" s="6">
        <f>($P$3*'Double Exponen'!L14)+('triple exponen'!$Q$3*'triple exponen'!K14)</f>
        <v>12049.908788959907</v>
      </c>
      <c r="M14" s="6">
        <f>($P$3*'Double Exponen'!M14)+('triple exponen'!$Q$3*'triple exponen'!L14)</f>
        <v>12124.478837870172</v>
      </c>
    </row>
    <row r="15" spans="1:17" x14ac:dyDescent="0.3">
      <c r="A15" s="6" t="str">
        <f t="shared" si="5"/>
        <v>Oil A 200 LT</v>
      </c>
      <c r="B15" s="6">
        <f t="shared" si="5"/>
        <v>459915.78</v>
      </c>
      <c r="C15" s="6">
        <f>($P$3*'Double Exponen'!C15)+('triple exponen'!$Q$3*'triple exponen'!B15)</f>
        <v>458223.01446000003</v>
      </c>
      <c r="D15" s="6">
        <f>($P$3*'Double Exponen'!D15)+('triple exponen'!$Q$3*'triple exponen'!C15)</f>
        <v>454452.69876600004</v>
      </c>
      <c r="E15" s="6">
        <f>($P$3*'Double Exponen'!E15)+('triple exponen'!$Q$3*'triple exponen'!D15)</f>
        <v>452173.35939240002</v>
      </c>
      <c r="F15" s="6">
        <f>($P$3*'Double Exponen'!F15)+('triple exponen'!$Q$3*'triple exponen'!E15)</f>
        <v>444118.23015780002</v>
      </c>
      <c r="G15" s="6">
        <f>($P$3*'Double Exponen'!G15)+('triple exponen'!$Q$3*'triple exponen'!F15)</f>
        <v>434044.05930129002</v>
      </c>
      <c r="H15" s="6">
        <f>($P$3*'Double Exponen'!H15)+('triple exponen'!$Q$3*'triple exponen'!G15)</f>
        <v>426248.11283233622</v>
      </c>
      <c r="I15" s="6">
        <f>($P$3*'Double Exponen'!I15)+('triple exponen'!$Q$3*'triple exponen'!H15)</f>
        <v>423229.06593913515</v>
      </c>
      <c r="J15" s="6">
        <f>($P$3*'Double Exponen'!J15)+('triple exponen'!$Q$3*'triple exponen'!I15)</f>
        <v>424929.02034899202</v>
      </c>
      <c r="K15" s="6">
        <f>($P$3*'Double Exponen'!K15)+('triple exponen'!$Q$3*'triple exponen'!J15)</f>
        <v>430601.85192384588</v>
      </c>
      <c r="L15" s="6">
        <f>($P$3*'Double Exponen'!L15)+('triple exponen'!$Q$3*'triple exponen'!K15)</f>
        <v>437765.02166418149</v>
      </c>
      <c r="M15" s="6">
        <f>($P$3*'Double Exponen'!M15)+('triple exponen'!$Q$3*'triple exponen'!L15)</f>
        <v>443642.85842643189</v>
      </c>
    </row>
    <row r="16" spans="1:17" x14ac:dyDescent="0.3">
      <c r="A16" s="6" t="str">
        <f t="shared" si="5"/>
        <v>Oil A 1000 LT</v>
      </c>
      <c r="B16" s="6">
        <f t="shared" si="5"/>
        <v>23458.3</v>
      </c>
      <c r="C16" s="6">
        <f>($P$3*'Double Exponen'!C16)+('triple exponen'!$Q$3*'triple exponen'!B16)</f>
        <v>23964.774100000002</v>
      </c>
      <c r="D16" s="6">
        <f>($P$3*'Double Exponen'!D16)+('triple exponen'!$Q$3*'triple exponen'!C16)</f>
        <v>24664.822810000005</v>
      </c>
      <c r="E16" s="6">
        <f>($P$3*'Double Exponen'!E16)+('triple exponen'!$Q$3*'triple exponen'!D16)</f>
        <v>25677.283174000004</v>
      </c>
      <c r="F16" s="6">
        <f>($P$3*'Double Exponen'!F16)+('triple exponen'!$Q$3*'triple exponen'!E16)</f>
        <v>26529.185851000002</v>
      </c>
      <c r="G16" s="6">
        <f>($P$3*'Double Exponen'!G16)+('triple exponen'!$Q$3*'triple exponen'!F16)</f>
        <v>27970.574545149997</v>
      </c>
      <c r="H16" s="6">
        <f>($P$3*'Double Exponen'!H16)+('triple exponen'!$Q$3*'triple exponen'!G16)</f>
        <v>30808.502372527</v>
      </c>
      <c r="I16" s="6">
        <f>($P$3*'Double Exponen'!I16)+('triple exponen'!$Q$3*'triple exponen'!H16)</f>
        <v>34140.057547829201</v>
      </c>
      <c r="J16" s="6">
        <f>($P$3*'Double Exponen'!J16)+('triple exponen'!$Q$3*'triple exponen'!I16)</f>
        <v>36303.670931813082</v>
      </c>
      <c r="K16" s="6">
        <f>($P$3*'Double Exponen'!K16)+('triple exponen'!$Q$3*'triple exponen'!J16)</f>
        <v>37272.945675275303</v>
      </c>
      <c r="L16" s="6">
        <f>($P$3*'Double Exponen'!L16)+('triple exponen'!$Q$3*'triple exponen'!K16)</f>
        <v>37342.065587218327</v>
      </c>
      <c r="M16" s="6">
        <f>($P$3*'Double Exponen'!M16)+('triple exponen'!$Q$3*'triple exponen'!L16)</f>
        <v>36993.289620115676</v>
      </c>
    </row>
    <row r="17" spans="1:13" x14ac:dyDescent="0.3">
      <c r="A17" s="6" t="str">
        <f t="shared" si="5"/>
        <v>Oil B 20 LT</v>
      </c>
      <c r="B17" s="6">
        <f t="shared" si="5"/>
        <v>4698.6499999999996</v>
      </c>
      <c r="C17" s="6">
        <f>($P$3*'Double Exponen'!C17)+('triple exponen'!$Q$3*'triple exponen'!B17)</f>
        <v>4805.2014499999996</v>
      </c>
      <c r="D17" s="6">
        <f>($P$3*'Double Exponen'!D17)+('triple exponen'!$Q$3*'triple exponen'!C17)</f>
        <v>5011.2596450000001</v>
      </c>
      <c r="E17" s="6">
        <f>($P$3*'Double Exponen'!E17)+('triple exponen'!$Q$3*'triple exponen'!D17)</f>
        <v>5248.3121930000007</v>
      </c>
      <c r="F17" s="6">
        <f>($P$3*'Double Exponen'!F17)+('triple exponen'!$Q$3*'triple exponen'!E17)</f>
        <v>6536.9232245000012</v>
      </c>
      <c r="G17" s="6">
        <f>($P$3*'Double Exponen'!G17)+('triple exponen'!$Q$3*'triple exponen'!F17)</f>
        <v>7918.8434459750024</v>
      </c>
      <c r="H17" s="6">
        <f>($P$3*'Double Exponen'!H17)+('triple exponen'!$Q$3*'triple exponen'!G17)</f>
        <v>9053.413348731503</v>
      </c>
      <c r="I17" s="6">
        <f>($P$3*'Double Exponen'!I17)+('triple exponen'!$Q$3*'triple exponen'!H17)</f>
        <v>10077.870832756404</v>
      </c>
      <c r="J17" s="6">
        <f>($P$3*'Double Exponen'!J17)+('triple exponen'!$Q$3*'triple exponen'!I17)</f>
        <v>11036.708428122563</v>
      </c>
      <c r="K17" s="6">
        <f>($P$3*'Double Exponen'!K17)+('triple exponen'!$Q$3*'triple exponen'!J17)</f>
        <v>12417.452753520374</v>
      </c>
      <c r="L17" s="6">
        <f>($P$3*'Double Exponen'!L17)+('triple exponen'!$Q$3*'triple exponen'!K17)</f>
        <v>13486.070888688066</v>
      </c>
      <c r="M17" s="6">
        <f>($P$3*'Double Exponen'!M17)+('triple exponen'!$Q$3*'triple exponen'!L17)</f>
        <v>14079.525889416027</v>
      </c>
    </row>
    <row r="18" spans="1:13" x14ac:dyDescent="0.3">
      <c r="A18" s="6" t="str">
        <f t="shared" si="5"/>
        <v>Oil B 200 LT</v>
      </c>
      <c r="B18" s="6">
        <f t="shared" si="5"/>
        <v>1033.08</v>
      </c>
      <c r="C18" s="6">
        <f>($P$3*'Double Exponen'!C18)+('triple exponen'!$Q$3*'triple exponen'!B18)</f>
        <v>1693.0912200000002</v>
      </c>
      <c r="D18" s="6">
        <f>($P$3*'Double Exponen'!D18)+('triple exponen'!$Q$3*'triple exponen'!C18)</f>
        <v>2917.6299420000005</v>
      </c>
      <c r="E18" s="6">
        <f>($P$3*'Double Exponen'!E18)+('triple exponen'!$Q$3*'triple exponen'!D18)</f>
        <v>4501.6345248000007</v>
      </c>
      <c r="F18" s="6">
        <f>($P$3*'Double Exponen'!F18)+('triple exponen'!$Q$3*'triple exponen'!E18)</f>
        <v>6470.239975800001</v>
      </c>
      <c r="G18" s="6">
        <f>($P$3*'Double Exponen'!G18)+('triple exponen'!$Q$3*'triple exponen'!F18)</f>
        <v>8442.4920978300015</v>
      </c>
      <c r="H18" s="6">
        <f>($P$3*'Double Exponen'!H18)+('triple exponen'!$Q$3*'triple exponen'!G18)</f>
        <v>11202.713763023401</v>
      </c>
      <c r="I18" s="6">
        <f>($P$3*'Double Exponen'!I18)+('triple exponen'!$Q$3*'triple exponen'!H18)</f>
        <v>14197.805850238441</v>
      </c>
      <c r="J18" s="6">
        <f>($P$3*'Double Exponen'!J18)+('triple exponen'!$Q$3*'triple exponen'!I18)</f>
        <v>17013.293443412018</v>
      </c>
      <c r="K18" s="6">
        <f>($P$3*'Double Exponen'!K18)+('triple exponen'!$Q$3*'triple exponen'!J18)</f>
        <v>20078.785472031755</v>
      </c>
      <c r="L18" s="6">
        <f>($P$3*'Double Exponen'!L18)+('triple exponen'!$Q$3*'triple exponen'!K18)</f>
        <v>23379.802296082806</v>
      </c>
      <c r="M18" s="6">
        <f>($P$3*'Double Exponen'!M18)+('triple exponen'!$Q$3*'triple exponen'!L18)</f>
        <v>26575.560168977536</v>
      </c>
    </row>
    <row r="19" spans="1:13" x14ac:dyDescent="0.3">
      <c r="A19" s="6">
        <f>A13+0.1</f>
        <v>0.4</v>
      </c>
      <c r="B19" s="6" t="str">
        <f t="shared" ref="B19:M19" si="6">B13</f>
        <v>T1</v>
      </c>
      <c r="C19" s="6" t="str">
        <f t="shared" si="6"/>
        <v>T2</v>
      </c>
      <c r="D19" s="6" t="str">
        <f t="shared" si="6"/>
        <v>T3</v>
      </c>
      <c r="E19" s="6" t="str">
        <f t="shared" si="6"/>
        <v>T4</v>
      </c>
      <c r="F19" s="6" t="str">
        <f t="shared" si="6"/>
        <v>T5</v>
      </c>
      <c r="G19" s="6" t="str">
        <f t="shared" si="6"/>
        <v>T6</v>
      </c>
      <c r="H19" s="6" t="str">
        <f t="shared" si="6"/>
        <v>T7</v>
      </c>
      <c r="I19" s="6" t="str">
        <f t="shared" si="6"/>
        <v>T8</v>
      </c>
      <c r="J19" s="6" t="str">
        <f t="shared" si="6"/>
        <v>T9</v>
      </c>
      <c r="K19" s="6" t="str">
        <f t="shared" si="6"/>
        <v>T10</v>
      </c>
      <c r="L19" s="6" t="str">
        <f t="shared" si="6"/>
        <v>T11</v>
      </c>
      <c r="M19" s="6" t="str">
        <f t="shared" si="6"/>
        <v>T12</v>
      </c>
    </row>
    <row r="20" spans="1:13" x14ac:dyDescent="0.3">
      <c r="A20" s="6" t="str">
        <f t="shared" ref="A20:B24" si="7">A14</f>
        <v>Oil A 20 LT</v>
      </c>
      <c r="B20" s="6">
        <f t="shared" si="7"/>
        <v>12588.09</v>
      </c>
      <c r="C20" s="6">
        <f>($P$4*'Double Exponen'!C20)+('triple exponen'!$Q$4*'triple exponen'!B20)</f>
        <v>12088.99624</v>
      </c>
      <c r="D20" s="6">
        <f>($P$4*'Double Exponen'!D20)+('triple exponen'!$Q$4*'triple exponen'!C20)</f>
        <v>12229.737232000001</v>
      </c>
      <c r="E20" s="6">
        <f>($P$4*'Double Exponen'!E20)+('triple exponen'!$Q$4*'triple exponen'!D20)</f>
        <v>12386.900598400001</v>
      </c>
      <c r="F20" s="6">
        <f>($P$4*'Double Exponen'!F20)+('triple exponen'!$Q$4*'triple exponen'!E20)</f>
        <v>12281.650294400002</v>
      </c>
      <c r="G20" s="6">
        <f>($P$4*'Double Exponen'!G20)+('triple exponen'!$Q$4*'triple exponen'!F20)</f>
        <v>11894.604165760002</v>
      </c>
      <c r="H20" s="6">
        <f>($P$4*'Double Exponen'!H20)+('triple exponen'!$Q$4*'triple exponen'!G20)</f>
        <v>11990.661309670402</v>
      </c>
      <c r="I20" s="6">
        <f>($P$4*'Double Exponen'!I20)+('triple exponen'!$Q$4*'triple exponen'!H20)</f>
        <v>12096.713841976321</v>
      </c>
      <c r="J20" s="6">
        <f>($P$4*'Double Exponen'!J20)+('triple exponen'!$Q$4*'triple exponen'!I20)</f>
        <v>12090.336400917506</v>
      </c>
      <c r="K20" s="6">
        <f>($P$4*'Double Exponen'!K20)+('triple exponen'!$Q$4*'triple exponen'!J20)</f>
        <v>11826.143175205889</v>
      </c>
      <c r="L20" s="6">
        <f>($P$4*'Double Exponen'!L20)+('triple exponen'!$Q$4*'triple exponen'!K20)</f>
        <v>12003.98139224658</v>
      </c>
      <c r="M20" s="6">
        <f>($P$4*'Double Exponen'!M20)+('triple exponen'!$Q$4*'triple exponen'!L20)</f>
        <v>12208.389499419667</v>
      </c>
    </row>
    <row r="21" spans="1:13" x14ac:dyDescent="0.3">
      <c r="A21" s="6" t="str">
        <f t="shared" si="7"/>
        <v>Oil A 200 LT</v>
      </c>
      <c r="B21" s="6">
        <f t="shared" si="7"/>
        <v>459915.78</v>
      </c>
      <c r="C21" s="6">
        <f>($P$4*'Double Exponen'!C21)+('triple exponen'!$Q$4*'triple exponen'!B21)</f>
        <v>455903.29872000008</v>
      </c>
      <c r="D21" s="6">
        <f>($P$4*'Double Exponen'!D21)+('triple exponen'!$Q$4*'triple exponen'!C21)</f>
        <v>448169.99849600007</v>
      </c>
      <c r="E21" s="6">
        <f>($P$4*'Double Exponen'!E21)+('triple exponen'!$Q$4*'triple exponen'!D21)</f>
        <v>446050.10555520008</v>
      </c>
      <c r="F21" s="6">
        <f>($P$4*'Double Exponen'!F21)+('triple exponen'!$Q$4*'triple exponen'!E21)</f>
        <v>430210.79726720008</v>
      </c>
      <c r="G21" s="6">
        <f>($P$4*'Double Exponen'!G21)+('triple exponen'!$Q$4*'triple exponen'!F21)</f>
        <v>413659.4359564801</v>
      </c>
      <c r="H21" s="6">
        <f>($P$4*'Double Exponen'!H21)+('triple exponen'!$Q$4*'triple exponen'!G21)</f>
        <v>405968.7819930113</v>
      </c>
      <c r="I21" s="6">
        <f>($P$4*'Double Exponen'!I21)+('triple exponen'!$Q$4*'triple exponen'!H21)</f>
        <v>409676.24400413712</v>
      </c>
      <c r="J21" s="6">
        <f>($P$4*'Double Exponen'!J21)+('triple exponen'!$Q$4*'triple exponen'!I21)</f>
        <v>421164.28562159429</v>
      </c>
      <c r="K21" s="6">
        <f>($P$4*'Double Exponen'!K21)+('triple exponen'!$Q$4*'triple exponen'!J21)</f>
        <v>436980.92894489208</v>
      </c>
      <c r="L21" s="6">
        <f>($P$4*'Double Exponen'!L21)+('triple exponen'!$Q$4*'triple exponen'!K21)</f>
        <v>450963.87777437759</v>
      </c>
      <c r="M21" s="6">
        <f>($P$4*'Double Exponen'!M21)+('triple exponen'!$Q$4*'triple exponen'!L21)</f>
        <v>458193.15138766053</v>
      </c>
    </row>
    <row r="22" spans="1:13" x14ac:dyDescent="0.3">
      <c r="A22" s="6" t="str">
        <f t="shared" si="7"/>
        <v>Oil A 1000 LT</v>
      </c>
      <c r="B22" s="6">
        <f t="shared" si="7"/>
        <v>23458.3</v>
      </c>
      <c r="C22" s="6">
        <f>($P$4*'Double Exponen'!C22)+('triple exponen'!$Q$4*'triple exponen'!B22)</f>
        <v>24658.831200000001</v>
      </c>
      <c r="D22" s="6">
        <f>($P$4*'Double Exponen'!D22)+('triple exponen'!$Q$4*'triple exponen'!C22)</f>
        <v>25958.046560000003</v>
      </c>
      <c r="E22" s="6">
        <f>($P$4*'Double Exponen'!E22)+('triple exponen'!$Q$4*'triple exponen'!D22)</f>
        <v>27680.060512000004</v>
      </c>
      <c r="F22" s="6">
        <f>($P$4*'Double Exponen'!F22)+('triple exponen'!$Q$4*'triple exponen'!E22)</f>
        <v>28642.868576000004</v>
      </c>
      <c r="G22" s="6">
        <f>($P$4*'Double Exponen'!G22)+('triple exponen'!$Q$4*'triple exponen'!F22)</f>
        <v>30931.517740800005</v>
      </c>
      <c r="H22" s="6">
        <f>($P$4*'Double Exponen'!H22)+('triple exponen'!$Q$4*'triple exponen'!G22)</f>
        <v>36080.475741952003</v>
      </c>
      <c r="I22" s="6">
        <f>($P$4*'Double Exponen'!I22)+('triple exponen'!$Q$4*'triple exponen'!H22)</f>
        <v>41185.081587865607</v>
      </c>
      <c r="J22" s="6">
        <f>($P$4*'Double Exponen'!J22)+('triple exponen'!$Q$4*'triple exponen'!I22)</f>
        <v>42568.368888862729</v>
      </c>
      <c r="K22" s="6">
        <f>($P$4*'Double Exponen'!K22)+('triple exponen'!$Q$4*'triple exponen'!J22)</f>
        <v>41486.318645319683</v>
      </c>
      <c r="L22" s="6">
        <f>($P$4*'Double Exponen'!L22)+('triple exponen'!$Q$4*'triple exponen'!K22)</f>
        <v>39316.591184582663</v>
      </c>
      <c r="M22" s="6">
        <f>($P$4*'Double Exponen'!M22)+('triple exponen'!$Q$4*'triple exponen'!L22)</f>
        <v>37325.980475297882</v>
      </c>
    </row>
    <row r="23" spans="1:13" x14ac:dyDescent="0.3">
      <c r="A23" s="6" t="str">
        <f t="shared" si="7"/>
        <v>Oil B 20 LT</v>
      </c>
      <c r="B23" s="6">
        <f t="shared" si="7"/>
        <v>4698.6499999999996</v>
      </c>
      <c r="C23" s="6">
        <f>($P$4*'Double Exponen'!C23)+('triple exponen'!$Q$4*'triple exponen'!B23)</f>
        <v>4951.2164000000002</v>
      </c>
      <c r="D23" s="6">
        <f>($P$4*'Double Exponen'!D23)+('triple exponen'!$Q$4*'triple exponen'!C23)</f>
        <v>5363.8807200000001</v>
      </c>
      <c r="E23" s="6">
        <f>($P$4*'Double Exponen'!E23)+('triple exponen'!$Q$4*'triple exponen'!D23)</f>
        <v>5741.3678240000008</v>
      </c>
      <c r="F23" s="6">
        <f>($P$4*'Double Exponen'!F23)+('triple exponen'!$Q$4*'triple exponen'!E23)</f>
        <v>8535.5800480000016</v>
      </c>
      <c r="G23" s="6">
        <f>($P$4*'Double Exponen'!G23)+('triple exponen'!$Q$4*'triple exponen'!F23)</f>
        <v>10766.318352000002</v>
      </c>
      <c r="H23" s="6">
        <f>($P$4*'Double Exponen'!H23)+('triple exponen'!$Q$4*'triple exponen'!G23)</f>
        <v>11953.255471744003</v>
      </c>
      <c r="I23" s="6">
        <f>($P$4*'Double Exponen'!I23)+('triple exponen'!$Q$4*'triple exponen'!H23)</f>
        <v>12832.337319347203</v>
      </c>
      <c r="J23" s="6">
        <f>($P$4*'Double Exponen'!J23)+('triple exponen'!$Q$4*'triple exponen'!I23)</f>
        <v>13617.704029373443</v>
      </c>
      <c r="K23" s="6">
        <f>($P$4*'Double Exponen'!K23)+('triple exponen'!$Q$4*'triple exponen'!J23)</f>
        <v>15485.546929873923</v>
      </c>
      <c r="L23" s="6">
        <f>($P$4*'Double Exponen'!L23)+('triple exponen'!$Q$4*'triple exponen'!K23)</f>
        <v>16357.42658302874</v>
      </c>
      <c r="M23" s="6">
        <f>($P$4*'Double Exponen'!M23)+('triple exponen'!$Q$4*'triple exponen'!L23)</f>
        <v>16198.099795532558</v>
      </c>
    </row>
    <row r="24" spans="1:13" x14ac:dyDescent="0.3">
      <c r="A24" s="6" t="str">
        <f t="shared" si="7"/>
        <v>Oil B 200 LT</v>
      </c>
      <c r="B24" s="6">
        <f t="shared" si="7"/>
        <v>1033.08</v>
      </c>
      <c r="C24" s="6">
        <f>($P$4*'Double Exponen'!C24)+('triple exponen'!$Q$4*'triple exponen'!B24)</f>
        <v>2597.5510400000003</v>
      </c>
      <c r="D24" s="6">
        <f>($P$4*'Double Exponen'!D24)+('triple exponen'!$Q$4*'triple exponen'!C24)</f>
        <v>5030.8200320000005</v>
      </c>
      <c r="E24" s="6">
        <f>($P$4*'Double Exponen'!E24)+('triple exponen'!$Q$4*'triple exponen'!D24)</f>
        <v>7680.0438144000009</v>
      </c>
      <c r="F24" s="6">
        <f>($P$4*'Double Exponen'!F24)+('triple exponen'!$Q$4*'triple exponen'!E24)</f>
        <v>10670.366656000002</v>
      </c>
      <c r="G24" s="6">
        <f>($P$4*'Double Exponen'!G24)+('triple exponen'!$Q$4*'triple exponen'!F24)</f>
        <v>13116.840348160003</v>
      </c>
      <c r="H24" s="6">
        <f>($P$4*'Double Exponen'!H24)+('triple exponen'!$Q$4*'triple exponen'!G24)</f>
        <v>17160.133462118403</v>
      </c>
      <c r="I24" s="6">
        <f>($P$4*'Double Exponen'!I24)+('triple exponen'!$Q$4*'triple exponen'!H24)</f>
        <v>21073.140493496321</v>
      </c>
      <c r="J24" s="6">
        <f>($P$4*'Double Exponen'!J24)+('triple exponen'!$Q$4*'triple exponen'!I24)</f>
        <v>24057.405464408068</v>
      </c>
      <c r="K24" s="6">
        <f>($P$4*'Double Exponen'!K24)+('triple exponen'!$Q$4*'triple exponen'!J24)</f>
        <v>27519.93557077607</v>
      </c>
      <c r="L24" s="6">
        <f>($P$4*'Double Exponen'!L24)+('triple exponen'!$Q$4*'triple exponen'!K24)</f>
        <v>31315.276792431421</v>
      </c>
      <c r="M24" s="6">
        <f>($P$4*'Double Exponen'!M24)+('triple exponen'!$Q$4*'triple exponen'!L24)</f>
        <v>34587.80227025054</v>
      </c>
    </row>
    <row r="25" spans="1:13" x14ac:dyDescent="0.3">
      <c r="A25" s="6">
        <f>A19+0.1</f>
        <v>0.5</v>
      </c>
      <c r="B25" s="6" t="str">
        <f t="shared" ref="B25:M25" si="8">B19</f>
        <v>T1</v>
      </c>
      <c r="C25" s="6" t="str">
        <f t="shared" si="8"/>
        <v>T2</v>
      </c>
      <c r="D25" s="6" t="str">
        <f t="shared" si="8"/>
        <v>T3</v>
      </c>
      <c r="E25" s="6" t="str">
        <f t="shared" si="8"/>
        <v>T4</v>
      </c>
      <c r="F25" s="6" t="str">
        <f t="shared" si="8"/>
        <v>T5</v>
      </c>
      <c r="G25" s="6" t="str">
        <f t="shared" si="8"/>
        <v>T6</v>
      </c>
      <c r="H25" s="6" t="str">
        <f t="shared" si="8"/>
        <v>T7</v>
      </c>
      <c r="I25" s="6" t="str">
        <f t="shared" si="8"/>
        <v>T8</v>
      </c>
      <c r="J25" s="6" t="str">
        <f t="shared" si="8"/>
        <v>T9</v>
      </c>
      <c r="K25" s="6" t="str">
        <f t="shared" si="8"/>
        <v>T10</v>
      </c>
      <c r="L25" s="6" t="str">
        <f t="shared" si="8"/>
        <v>T11</v>
      </c>
      <c r="M25" s="6" t="str">
        <f t="shared" si="8"/>
        <v>T12</v>
      </c>
    </row>
    <row r="26" spans="1:13" x14ac:dyDescent="0.3">
      <c r="A26" s="6" t="str">
        <f t="shared" ref="A26:B30" si="9">A20</f>
        <v>Oil A 20 LT</v>
      </c>
      <c r="B26" s="6">
        <f t="shared" si="9"/>
        <v>12588.09</v>
      </c>
      <c r="C26" s="6">
        <f>($P$5*'Double Exponen'!C26)+('triple exponen'!$Q$5*'triple exponen'!B26)</f>
        <v>11613.297500000002</v>
      </c>
      <c r="D26" s="6">
        <f>($P$5*'Double Exponen'!D26)+('triple exponen'!$Q$5*'triple exponen'!C26)</f>
        <v>12180.620000000003</v>
      </c>
      <c r="E26" s="6">
        <f>($P$5*'Double Exponen'!E26)+('triple exponen'!$Q$5*'triple exponen'!D26)</f>
        <v>12522.089375000003</v>
      </c>
      <c r="F26" s="6">
        <f>($P$5*'Double Exponen'!F26)+('triple exponen'!$Q$5*'triple exponen'!E26)</f>
        <v>12236.288750000003</v>
      </c>
      <c r="G26" s="6">
        <f>($P$5*'Double Exponen'!G26)+('triple exponen'!$Q$5*'triple exponen'!F26)</f>
        <v>11508.613593750004</v>
      </c>
      <c r="H26" s="6">
        <f>($P$5*'Double Exponen'!H26)+('triple exponen'!$Q$5*'triple exponen'!G26)</f>
        <v>11934.140000000003</v>
      </c>
      <c r="I26" s="6">
        <f>($P$5*'Double Exponen'!I26)+('triple exponen'!$Q$5*'triple exponen'!H26)</f>
        <v>12179.870898437503</v>
      </c>
      <c r="J26" s="6">
        <f>($P$5*'Double Exponen'!J26)+('triple exponen'!$Q$5*'triple exponen'!I26)</f>
        <v>12118.971796875003</v>
      </c>
      <c r="K26" s="6">
        <f>($P$5*'Double Exponen'!K26)+('triple exponen'!$Q$5*'triple exponen'!J26)</f>
        <v>11586.114521484378</v>
      </c>
      <c r="L26" s="6">
        <f>($P$5*'Double Exponen'!L26)+('triple exponen'!$Q$5*'triple exponen'!K26)</f>
        <v>12081.170546875004</v>
      </c>
      <c r="M26" s="6">
        <f>($P$5*'Double Exponen'!M26)+('triple exponen'!$Q$5*'triple exponen'!L26)</f>
        <v>12435.215153808596</v>
      </c>
    </row>
    <row r="27" spans="1:13" x14ac:dyDescent="0.3">
      <c r="A27" s="6" t="str">
        <f t="shared" si="9"/>
        <v>Oil A 200 LT</v>
      </c>
      <c r="B27" s="6">
        <f t="shared" si="9"/>
        <v>459915.78</v>
      </c>
      <c r="C27" s="6">
        <f>($P$5*'Double Exponen'!C27)+('triple exponen'!$Q$5*'triple exponen'!B27)</f>
        <v>452078.90250000008</v>
      </c>
      <c r="D27" s="6">
        <f>($P$5*'Double Exponen'!D27)+('triple exponen'!$Q$5*'triple exponen'!C27)</f>
        <v>439325.86375000014</v>
      </c>
      <c r="E27" s="6">
        <f>($P$5*'Double Exponen'!E27)+('triple exponen'!$Q$5*'triple exponen'!D27)</f>
        <v>440657.10375000013</v>
      </c>
      <c r="F27" s="6">
        <f>($P$5*'Double Exponen'!F27)+('triple exponen'!$Q$5*'triple exponen'!E27)</f>
        <v>413136.06812500011</v>
      </c>
      <c r="G27" s="6">
        <f>($P$5*'Double Exponen'!G27)+('triple exponen'!$Q$5*'triple exponen'!F27)</f>
        <v>391410.98234375007</v>
      </c>
      <c r="H27" s="6">
        <f>($P$5*'Double Exponen'!H27)+('triple exponen'!$Q$5*'triple exponen'!G27)</f>
        <v>390281.39539062511</v>
      </c>
      <c r="I27" s="6">
        <f>($P$5*'Double Exponen'!I27)+('triple exponen'!$Q$5*'triple exponen'!H27)</f>
        <v>407488.47234375007</v>
      </c>
      <c r="J27" s="6">
        <f>($P$5*'Double Exponen'!J27)+('triple exponen'!$Q$5*'triple exponen'!I27)</f>
        <v>431594.3097656251</v>
      </c>
      <c r="K27" s="6">
        <f>($P$5*'Double Exponen'!K27)+('triple exponen'!$Q$5*'triple exponen'!J27)</f>
        <v>456275.71731445321</v>
      </c>
      <c r="L27" s="6">
        <f>($P$5*'Double Exponen'!L27)+('triple exponen'!$Q$5*'triple exponen'!K27)</f>
        <v>471742.89769042982</v>
      </c>
      <c r="M27" s="6">
        <f>($P$5*'Double Exponen'!M27)+('triple exponen'!$Q$5*'triple exponen'!L27)</f>
        <v>472923.42727050791</v>
      </c>
    </row>
    <row r="28" spans="1:13" x14ac:dyDescent="0.3">
      <c r="A28" s="6" t="str">
        <f t="shared" si="9"/>
        <v>Oil A 1000 LT</v>
      </c>
      <c r="B28" s="6">
        <f t="shared" si="9"/>
        <v>23458.3</v>
      </c>
      <c r="C28" s="6">
        <f>($P$5*'Double Exponen'!C28)+('triple exponen'!$Q$5*'triple exponen'!B28)</f>
        <v>25803.087500000001</v>
      </c>
      <c r="D28" s="6">
        <f>($P$5*'Double Exponen'!D28)+('triple exponen'!$Q$5*'triple exponen'!C28)</f>
        <v>27637.181250000005</v>
      </c>
      <c r="E28" s="6">
        <f>($P$5*'Double Exponen'!E28)+('triple exponen'!$Q$5*'triple exponen'!D28)</f>
        <v>29957.856250000004</v>
      </c>
      <c r="F28" s="6">
        <f>($P$5*'Double Exponen'!F28)+('triple exponen'!$Q$5*'triple exponen'!E28)</f>
        <v>30416.984375000007</v>
      </c>
      <c r="G28" s="6">
        <f>($P$5*'Double Exponen'!G28)+('triple exponen'!$Q$5*'triple exponen'!F28)</f>
        <v>33763.844531250012</v>
      </c>
      <c r="H28" s="6">
        <f>($P$5*'Double Exponen'!H28)+('triple exponen'!$Q$5*'triple exponen'!G28)</f>
        <v>42044.848046875006</v>
      </c>
      <c r="I28" s="6">
        <f>($P$5*'Double Exponen'!I28)+('triple exponen'!$Q$5*'triple exponen'!H28)</f>
        <v>48303.161718750009</v>
      </c>
      <c r="J28" s="6">
        <f>($P$5*'Double Exponen'!J28)+('triple exponen'!$Q$5*'triple exponen'!I28)</f>
        <v>46549.649609375003</v>
      </c>
      <c r="K28" s="6">
        <f>($P$5*'Double Exponen'!K28)+('triple exponen'!$Q$5*'triple exponen'!J28)</f>
        <v>41879.584130859381</v>
      </c>
      <c r="L28" s="6">
        <f>($P$5*'Double Exponen'!L28)+('triple exponen'!$Q$5*'triple exponen'!K28)</f>
        <v>37302.609204101565</v>
      </c>
      <c r="M28" s="6">
        <f>($P$5*'Double Exponen'!M28)+('triple exponen'!$Q$5*'triple exponen'!L28)</f>
        <v>34594.519409179688</v>
      </c>
    </row>
    <row r="29" spans="1:13" x14ac:dyDescent="0.3">
      <c r="A29" s="6" t="str">
        <f t="shared" si="9"/>
        <v>Oil B 20 LT</v>
      </c>
      <c r="B29" s="6">
        <f t="shared" si="9"/>
        <v>4698.6499999999996</v>
      </c>
      <c r="C29" s="6">
        <f>($P$5*'Double Exponen'!C29)+('triple exponen'!$Q$5*'triple exponen'!B29)</f>
        <v>5191.9437500000004</v>
      </c>
      <c r="D29" s="6">
        <f>($P$5*'Double Exponen'!D29)+('triple exponen'!$Q$5*'triple exponen'!C29)</f>
        <v>5849.9406250000011</v>
      </c>
      <c r="E29" s="6">
        <f>($P$5*'Double Exponen'!E29)+('triple exponen'!$Q$5*'triple exponen'!D29)</f>
        <v>6286.2293750000008</v>
      </c>
      <c r="F29" s="6">
        <f>($P$5*'Double Exponen'!F29)+('triple exponen'!$Q$5*'triple exponen'!E29)</f>
        <v>11403.081562500001</v>
      </c>
      <c r="G29" s="6">
        <f>($P$5*'Double Exponen'!G29)+('triple exponen'!$Q$5*'triple exponen'!F29)</f>
        <v>13989.070390625002</v>
      </c>
      <c r="H29" s="6">
        <f>($P$5*'Double Exponen'!H29)+('triple exponen'!$Q$5*'triple exponen'!G29)</f>
        <v>14295.536835937502</v>
      </c>
      <c r="I29" s="6">
        <f>($P$5*'Double Exponen'!I29)+('triple exponen'!$Q$5*'triple exponen'!H29)</f>
        <v>14526.137656250003</v>
      </c>
      <c r="J29" s="6">
        <f>($P$5*'Double Exponen'!J29)+('triple exponen'!$Q$5*'triple exponen'!I29)</f>
        <v>14971.437656250004</v>
      </c>
      <c r="K29" s="6">
        <f>($P$5*'Double Exponen'!K29)+('triple exponen'!$Q$5*'triple exponen'!J29)</f>
        <v>17745.395346679688</v>
      </c>
      <c r="L29" s="6">
        <f>($P$5*'Double Exponen'!L29)+('triple exponen'!$Q$5*'triple exponen'!K29)</f>
        <v>18023.206984863282</v>
      </c>
      <c r="M29" s="6">
        <f>($P$5*'Double Exponen'!M29)+('triple exponen'!$Q$5*'triple exponen'!L29)</f>
        <v>16647.386174316409</v>
      </c>
    </row>
    <row r="30" spans="1:13" x14ac:dyDescent="0.3">
      <c r="A30" s="6" t="str">
        <f t="shared" si="9"/>
        <v>Oil B 200 LT</v>
      </c>
      <c r="B30" s="6">
        <f t="shared" si="9"/>
        <v>1033.08</v>
      </c>
      <c r="C30" s="6">
        <f>($P$5*'Double Exponen'!C30)+('triple exponen'!$Q$5*'triple exponen'!B30)</f>
        <v>4088.6874999999995</v>
      </c>
      <c r="D30" s="6">
        <f>($P$5*'Double Exponen'!D30)+('triple exponen'!$Q$5*'triple exponen'!C30)</f>
        <v>7924.4837499999994</v>
      </c>
      <c r="E30" s="6">
        <f>($P$5*'Double Exponen'!E30)+('triple exponen'!$Q$5*'triple exponen'!D30)</f>
        <v>11306.3325</v>
      </c>
      <c r="F30" s="6">
        <f>($P$5*'Double Exponen'!F30)+('triple exponen'!$Q$5*'triple exponen'!E30)</f>
        <v>14883.671875</v>
      </c>
      <c r="G30" s="6">
        <f>($P$5*'Double Exponen'!G30)+('triple exponen'!$Q$5*'triple exponen'!F30)</f>
        <v>17019.85515625</v>
      </c>
      <c r="H30" s="6">
        <f>($P$5*'Double Exponen'!H30)+('triple exponen'!$Q$5*'triple exponen'!G30)</f>
        <v>22450.100390625001</v>
      </c>
      <c r="I30" s="6">
        <f>($P$5*'Double Exponen'!I30)+('triple exponen'!$Q$5*'triple exponen'!H30)</f>
        <v>26767.375703125002</v>
      </c>
      <c r="J30" s="6">
        <f>($P$5*'Double Exponen'!J30)+('triple exponen'!$Q$5*'triple exponen'!I30)</f>
        <v>29006.320156250003</v>
      </c>
      <c r="K30" s="6">
        <f>($P$5*'Double Exponen'!K30)+('triple exponen'!$Q$5*'triple exponen'!J30)</f>
        <v>32624.99350585938</v>
      </c>
      <c r="L30" s="6">
        <f>($P$5*'Double Exponen'!L30)+('triple exponen'!$Q$5*'triple exponen'!K30)</f>
        <v>36797.407104492195</v>
      </c>
      <c r="M30" s="6">
        <f>($P$5*'Double Exponen'!M30)+('triple exponen'!$Q$5*'triple exponen'!L30)</f>
        <v>39715.333046875006</v>
      </c>
    </row>
    <row r="31" spans="1:13" x14ac:dyDescent="0.3">
      <c r="A31" s="6">
        <f>A25+0.1</f>
        <v>0.6</v>
      </c>
      <c r="B31" s="6" t="str">
        <f t="shared" ref="B31:M31" si="10">B25</f>
        <v>T1</v>
      </c>
      <c r="C31" s="6" t="str">
        <f t="shared" si="10"/>
        <v>T2</v>
      </c>
      <c r="D31" s="6" t="str">
        <f t="shared" si="10"/>
        <v>T3</v>
      </c>
      <c r="E31" s="6" t="str">
        <f t="shared" si="10"/>
        <v>T4</v>
      </c>
      <c r="F31" s="6" t="str">
        <f t="shared" si="10"/>
        <v>T5</v>
      </c>
      <c r="G31" s="6" t="str">
        <f t="shared" si="10"/>
        <v>T6</v>
      </c>
      <c r="H31" s="6" t="str">
        <f t="shared" si="10"/>
        <v>T7</v>
      </c>
      <c r="I31" s="6" t="str">
        <f t="shared" si="10"/>
        <v>T8</v>
      </c>
      <c r="J31" s="6" t="str">
        <f t="shared" si="10"/>
        <v>T9</v>
      </c>
      <c r="K31" s="6" t="str">
        <f t="shared" si="10"/>
        <v>T10</v>
      </c>
      <c r="L31" s="6" t="str">
        <f t="shared" si="10"/>
        <v>T11</v>
      </c>
      <c r="M31" s="6" t="str">
        <f t="shared" si="10"/>
        <v>T12</v>
      </c>
    </row>
    <row r="32" spans="1:13" x14ac:dyDescent="0.3">
      <c r="A32" s="6" t="str">
        <f t="shared" ref="A32:B36" si="11">A26</f>
        <v>Oil A 20 LT</v>
      </c>
      <c r="B32" s="6">
        <f t="shared" si="11"/>
        <v>12588.09</v>
      </c>
      <c r="C32" s="6">
        <f>($P$6*'Double Exponen'!C32)+('triple exponen'!$Q$6*'triple exponen'!B32)</f>
        <v>12307.349760000003</v>
      </c>
      <c r="D32" s="6">
        <f>($P$6*'Double Exponen'!D32)+('triple exponen'!$Q$6*'triple exponen'!C32)</f>
        <v>12414.590592000004</v>
      </c>
      <c r="E32" s="6">
        <f>($P$6*'Double Exponen'!E32)+('triple exponen'!$Q$6*'triple exponen'!D32)</f>
        <v>12486.656097600004</v>
      </c>
      <c r="F32" s="6">
        <f>($P$6*'Double Exponen'!F32)+('triple exponen'!$Q$6*'triple exponen'!E32)</f>
        <v>12402.177770400005</v>
      </c>
      <c r="G32" s="6">
        <f>($P$6*'Double Exponen'!G32)+('triple exponen'!$Q$6*'triple exponen'!F32)</f>
        <v>12177.818849040006</v>
      </c>
      <c r="H32" s="6">
        <f>($P$6*'Double Exponen'!H32)+('triple exponen'!$Q$6*'triple exponen'!G32)</f>
        <v>12244.008483470407</v>
      </c>
      <c r="I32" s="6">
        <f>($P$6*'Double Exponen'!I32)+('triple exponen'!$Q$6*'triple exponen'!H32)</f>
        <v>12281.855913682086</v>
      </c>
      <c r="J32" s="6">
        <f>($P$6*'Double Exponen'!J32)+('triple exponen'!$Q$6*'triple exponen'!I32)</f>
        <v>12250.057302067351</v>
      </c>
      <c r="K32" s="6">
        <f>($P$6*'Double Exponen'!K32)+('triple exponen'!$Q$6*'triple exponen'!J32)</f>
        <v>12082.829671093999</v>
      </c>
      <c r="L32" s="6">
        <f>($P$6*'Double Exponen'!L32)+('triple exponen'!$Q$6*'triple exponen'!K32)</f>
        <v>12182.745466610751</v>
      </c>
      <c r="M32" s="6">
        <f>($P$6*'Double Exponen'!M32)+('triple exponen'!$Q$6*'triple exponen'!L32)</f>
        <v>12270.379474173256</v>
      </c>
    </row>
    <row r="33" spans="1:13" x14ac:dyDescent="0.3">
      <c r="A33" s="6" t="str">
        <f t="shared" si="11"/>
        <v>Oil A 200 LT</v>
      </c>
      <c r="B33" s="6">
        <f t="shared" si="11"/>
        <v>459915.78</v>
      </c>
      <c r="C33" s="6">
        <f>($P$6*'Double Exponen'!C33)+('triple exponen'!$Q$6*'triple exponen'!B33)</f>
        <v>457658.75928000011</v>
      </c>
      <c r="D33" s="6">
        <f>($P$6*'Double Exponen'!D33)+('triple exponen'!$Q$6*'triple exponen'!C33)</f>
        <v>453534.47997600009</v>
      </c>
      <c r="E33" s="6">
        <f>($P$6*'Double Exponen'!E33)+('triple exponen'!$Q$6*'triple exponen'!D33)</f>
        <v>452709.32771280012</v>
      </c>
      <c r="F33" s="6">
        <f>($P$6*'Double Exponen'!F33)+('triple exponen'!$Q$6*'triple exponen'!E33)</f>
        <v>443637.24094920018</v>
      </c>
      <c r="G33" s="6">
        <f>($P$6*'Double Exponen'!G33)+('triple exponen'!$Q$6*'triple exponen'!F33)</f>
        <v>434725.8511429202</v>
      </c>
      <c r="H33" s="6">
        <f>($P$6*'Double Exponen'!H33)+('triple exponen'!$Q$6*'triple exponen'!G33)</f>
        <v>430508.55057831143</v>
      </c>
      <c r="I33" s="6">
        <f>($P$6*'Double Exponen'!I33)+('triple exponen'!$Q$6*'triple exponen'!H33)</f>
        <v>431616.54063404445</v>
      </c>
      <c r="J33" s="6">
        <f>($P$6*'Double Exponen'!J33)+('triple exponen'!$Q$6*'triple exponen'!I33)</f>
        <v>435975.24433354195</v>
      </c>
      <c r="K33" s="6">
        <f>($P$6*'Double Exponen'!K33)+('triple exponen'!$Q$6*'triple exponen'!J33)</f>
        <v>442254.63545233913</v>
      </c>
      <c r="L33" s="6">
        <f>($P$6*'Double Exponen'!L33)+('triple exponen'!$Q$6*'triple exponen'!K33)</f>
        <v>447633.07766676205</v>
      </c>
      <c r="M33" s="6">
        <f>($P$6*'Double Exponen'!M33)+('triple exponen'!$Q$6*'triple exponen'!L33)</f>
        <v>449999.76305946708</v>
      </c>
    </row>
    <row r="34" spans="1:13" x14ac:dyDescent="0.3">
      <c r="A34" s="6" t="str">
        <f t="shared" si="11"/>
        <v>Oil A 1000 LT</v>
      </c>
      <c r="B34" s="6">
        <f t="shared" si="11"/>
        <v>23458.3</v>
      </c>
      <c r="C34" s="6">
        <f>($P$6*'Double Exponen'!C34)+('triple exponen'!$Q$6*'triple exponen'!B34)</f>
        <v>24133.5988</v>
      </c>
      <c r="D34" s="6">
        <f>($P$6*'Double Exponen'!D34)+('triple exponen'!$Q$6*'triple exponen'!C34)</f>
        <v>24796.877560000001</v>
      </c>
      <c r="E34" s="6">
        <f>($P$6*'Double Exponen'!E34)+('triple exponen'!$Q$6*'triple exponen'!D34)</f>
        <v>25712.688507999999</v>
      </c>
      <c r="F34" s="6">
        <f>($P$6*'Double Exponen'!F34)+('triple exponen'!$Q$6*'triple exponen'!E34)</f>
        <v>26224.574037999999</v>
      </c>
      <c r="G34" s="6">
        <f>($P$6*'Double Exponen'!G34)+('triple exponen'!$Q$6*'triple exponen'!F34)</f>
        <v>27585.168746200005</v>
      </c>
      <c r="H34" s="6">
        <f>($P$6*'Double Exponen'!H34)+('triple exponen'!$Q$6*'triple exponen'!G34)</f>
        <v>30534.310060252006</v>
      </c>
      <c r="I34" s="6">
        <f>($P$6*'Double Exponen'!I34)+('triple exponen'!$Q$6*'triple exponen'!H34)</f>
        <v>33355.632467244403</v>
      </c>
      <c r="J34" s="6">
        <f>($P$6*'Double Exponen'!J34)+('triple exponen'!$Q$6*'triple exponen'!I34)</f>
        <v>34212.168640746531</v>
      </c>
      <c r="K34" s="6">
        <f>($P$6*'Double Exponen'!K34)+('triple exponen'!$Q$6*'triple exponen'!J34)</f>
        <v>34076.410766770314</v>
      </c>
      <c r="L34" s="6">
        <f>($P$6*'Double Exponen'!L34)+('triple exponen'!$Q$6*'triple exponen'!K34)</f>
        <v>33593.382574935778</v>
      </c>
      <c r="M34" s="6">
        <f>($P$6*'Double Exponen'!M34)+('triple exponen'!$Q$6*'triple exponen'!L34)</f>
        <v>33266.758386900452</v>
      </c>
    </row>
    <row r="35" spans="1:13" x14ac:dyDescent="0.3">
      <c r="A35" s="6" t="str">
        <f t="shared" si="11"/>
        <v>Oil B 20 LT</v>
      </c>
      <c r="B35" s="6">
        <f t="shared" si="11"/>
        <v>4698.6499999999996</v>
      </c>
      <c r="C35" s="6">
        <f>($P$6*'Double Exponen'!C35)+('triple exponen'!$Q$6*'triple exponen'!B35)</f>
        <v>4840.7186000000002</v>
      </c>
      <c r="D35" s="6">
        <f>($P$6*'Double Exponen'!D35)+('triple exponen'!$Q$6*'triple exponen'!C35)</f>
        <v>5058.6354200000005</v>
      </c>
      <c r="E35" s="6">
        <f>($P$6*'Double Exponen'!E35)+('triple exponen'!$Q$6*'triple exponen'!D35)</f>
        <v>5252.0216060000002</v>
      </c>
      <c r="F35" s="6">
        <f>($P$6*'Double Exponen'!F35)+('triple exponen'!$Q$6*'triple exponen'!E35)</f>
        <v>6819.0146390000009</v>
      </c>
      <c r="G35" s="6">
        <f>($P$6*'Double Exponen'!G35)+('triple exponen'!$Q$6*'triple exponen'!F35)</f>
        <v>7948.9380935000008</v>
      </c>
      <c r="H35" s="6">
        <f>($P$6*'Double Exponen'!H35)+('triple exponen'!$Q$6*'triple exponen'!G35)</f>
        <v>8579.3505478940006</v>
      </c>
      <c r="I35" s="6">
        <f>($P$6*'Double Exponen'!I35)+('triple exponen'!$Q$6*'triple exponen'!H35)</f>
        <v>9190.7525171558009</v>
      </c>
      <c r="J35" s="6">
        <f>($P$6*'Double Exponen'!J35)+('triple exponen'!$Q$6*'triple exponen'!I35)</f>
        <v>9839.8098824821427</v>
      </c>
      <c r="K35" s="6">
        <f>($P$6*'Double Exponen'!K35)+('triple exponen'!$Q$6*'triple exponen'!J35)</f>
        <v>11141.260264019273</v>
      </c>
      <c r="L35" s="6">
        <f>($P$6*'Double Exponen'!L35)+('triple exponen'!$Q$6*'triple exponen'!K35)</f>
        <v>11840.140514718914</v>
      </c>
      <c r="M35" s="6">
        <f>($P$6*'Double Exponen'!M35)+('triple exponen'!$Q$6*'triple exponen'!L35)</f>
        <v>12043.317905762624</v>
      </c>
    </row>
    <row r="36" spans="1:13" x14ac:dyDescent="0.3">
      <c r="A36" s="6" t="str">
        <f t="shared" si="11"/>
        <v>Oil B 200 LT</v>
      </c>
      <c r="B36" s="6">
        <f t="shared" si="11"/>
        <v>1033.08</v>
      </c>
      <c r="C36" s="6">
        <f>($P$6*'Double Exponen'!C36)+('triple exponen'!$Q$6*'triple exponen'!B36)</f>
        <v>1913.0949599999999</v>
      </c>
      <c r="D36" s="6">
        <f>($P$6*'Double Exponen'!D36)+('triple exponen'!$Q$6*'triple exponen'!C36)</f>
        <v>3193.8072720000005</v>
      </c>
      <c r="E36" s="6">
        <f>($P$6*'Double Exponen'!E36)+('triple exponen'!$Q$6*'triple exponen'!D36)</f>
        <v>4573.5247176000012</v>
      </c>
      <c r="F36" s="6">
        <f>($P$6*'Double Exponen'!F36)+('triple exponen'!$Q$6*'triple exponen'!E36)</f>
        <v>6206.5848948000012</v>
      </c>
      <c r="G36" s="6">
        <f>($P$6*'Double Exponen'!G36)+('triple exponen'!$Q$6*'triple exponen'!F36)</f>
        <v>7615.2592568400014</v>
      </c>
      <c r="H36" s="6">
        <f>($P$6*'Double Exponen'!H36)+('triple exponen'!$Q$6*'triple exponen'!G36)</f>
        <v>10063.630228538403</v>
      </c>
      <c r="I36" s="6">
        <f>($P$6*'Double Exponen'!I36)+('triple exponen'!$Q$6*'triple exponen'!H36)</f>
        <v>12451.528827347283</v>
      </c>
      <c r="J36" s="6">
        <f>($P$6*'Double Exponen'!J36)+('triple exponen'!$Q$6*'triple exponen'!I36)</f>
        <v>14435.022538361547</v>
      </c>
      <c r="K36" s="6">
        <f>($P$6*'Double Exponen'!K36)+('triple exponen'!$Q$6*'triple exponen'!J36)</f>
        <v>16870.173060058554</v>
      </c>
      <c r="L36" s="6">
        <f>($P$6*'Double Exponen'!L36)+('triple exponen'!$Q$6*'triple exponen'!K36)</f>
        <v>19574.890199479389</v>
      </c>
      <c r="M36" s="6">
        <f>($P$6*'Double Exponen'!M36)+('triple exponen'!$Q$6*'triple exponen'!L36)</f>
        <v>22054.511411787498</v>
      </c>
    </row>
    <row r="37" spans="1:13" x14ac:dyDescent="0.3">
      <c r="A37" s="6">
        <f>A31+0.1</f>
        <v>0.7</v>
      </c>
      <c r="B37" s="6" t="str">
        <f t="shared" ref="B37:M37" si="12">B31</f>
        <v>T1</v>
      </c>
      <c r="C37" s="6" t="str">
        <f t="shared" si="12"/>
        <v>T2</v>
      </c>
      <c r="D37" s="6" t="str">
        <f t="shared" si="12"/>
        <v>T3</v>
      </c>
      <c r="E37" s="6" t="str">
        <f t="shared" si="12"/>
        <v>T4</v>
      </c>
      <c r="F37" s="6" t="str">
        <f t="shared" si="12"/>
        <v>T5</v>
      </c>
      <c r="G37" s="6" t="str">
        <f t="shared" si="12"/>
        <v>T6</v>
      </c>
      <c r="H37" s="6" t="str">
        <f t="shared" si="12"/>
        <v>T7</v>
      </c>
      <c r="I37" s="6" t="str">
        <f t="shared" si="12"/>
        <v>T8</v>
      </c>
      <c r="J37" s="6" t="str">
        <f t="shared" si="12"/>
        <v>T9</v>
      </c>
      <c r="K37" s="6" t="str">
        <f t="shared" si="12"/>
        <v>T10</v>
      </c>
      <c r="L37" s="6" t="str">
        <f t="shared" si="12"/>
        <v>T11</v>
      </c>
      <c r="M37" s="6" t="str">
        <f t="shared" si="12"/>
        <v>T12</v>
      </c>
    </row>
    <row r="38" spans="1:13" x14ac:dyDescent="0.3">
      <c r="A38" s="6" t="str">
        <f t="shared" ref="A38:B42" si="13">A32</f>
        <v>Oil A 20 LT</v>
      </c>
      <c r="B38" s="6">
        <f t="shared" si="13"/>
        <v>12588.09</v>
      </c>
      <c r="C38" s="6">
        <f>($P$7*'Double Exponen'!C38)+('triple exponen'!$Q$7*'triple exponen'!B38)</f>
        <v>12205.971340000002</v>
      </c>
      <c r="D38" s="6">
        <f>($P$7*'Double Exponen'!D38)+('triple exponen'!$Q$7*'triple exponen'!C38)</f>
        <v>12428.361760000002</v>
      </c>
      <c r="E38" s="6">
        <f>($P$7*'Double Exponen'!E38)+('triple exponen'!$Q$7*'triple exponen'!D38)</f>
        <v>12516.363515800003</v>
      </c>
      <c r="F38" s="6">
        <f>($P$7*'Double Exponen'!F38)+('triple exponen'!$Q$7*'triple exponen'!E38)</f>
        <v>12379.048383440004</v>
      </c>
      <c r="G38" s="6">
        <f>($P$7*'Double Exponen'!G38)+('triple exponen'!$Q$7*'triple exponen'!F38)</f>
        <v>12091.043502766006</v>
      </c>
      <c r="H38" s="6">
        <f>($P$7*'Double Exponen'!H38)+('triple exponen'!$Q$7*'triple exponen'!G38)</f>
        <v>12246.594817361607</v>
      </c>
      <c r="I38" s="6">
        <f>($P$7*'Double Exponen'!I38)+('triple exponen'!$Q$7*'triple exponen'!H38)</f>
        <v>12296.427058358468</v>
      </c>
      <c r="J38" s="6">
        <f>($P$7*'Double Exponen'!J38)+('triple exponen'!$Q$7*'triple exponen'!I38)</f>
        <v>12242.248326323934</v>
      </c>
      <c r="K38" s="6">
        <f>($P$7*'Double Exponen'!K38)+('triple exponen'!$Q$7*'triple exponen'!J38)</f>
        <v>12020.508282926357</v>
      </c>
      <c r="L38" s="6">
        <f>($P$7*'Double Exponen'!L38)+('triple exponen'!$Q$7*'triple exponen'!K38)</f>
        <v>12203.504120532496</v>
      </c>
      <c r="M38" s="6">
        <f>($P$7*'Double Exponen'!M38)+('triple exponen'!$Q$7*'triple exponen'!L38)</f>
        <v>12307.322186987376</v>
      </c>
    </row>
    <row r="39" spans="1:13" x14ac:dyDescent="0.3">
      <c r="A39" s="6" t="str">
        <f t="shared" si="13"/>
        <v>Oil A 200 LT</v>
      </c>
      <c r="B39" s="6">
        <f t="shared" si="13"/>
        <v>459915.78</v>
      </c>
      <c r="C39" s="6">
        <f>($P$7*'Double Exponen'!C39)+('triple exponen'!$Q$7*'triple exponen'!B39)</f>
        <v>456843.72402000008</v>
      </c>
      <c r="D39" s="6">
        <f>($P$7*'Double Exponen'!D39)+('triple exponen'!$Q$7*'triple exponen'!C39)</f>
        <v>451844.5328300001</v>
      </c>
      <c r="E39" s="6">
        <f>($P$7*'Double Exponen'!E39)+('triple exponen'!$Q$7*'triple exponen'!D39)</f>
        <v>451997.73219240014</v>
      </c>
      <c r="F39" s="6">
        <f>($P$7*'Double Exponen'!F39)+('triple exponen'!$Q$7*'triple exponen'!E39)</f>
        <v>440191.78367132012</v>
      </c>
      <c r="G39" s="6">
        <f>($P$7*'Double Exponen'!G39)+('triple exponen'!$Q$7*'triple exponen'!F39)</f>
        <v>430663.82958499808</v>
      </c>
      <c r="H39" s="6">
        <f>($P$7*'Double Exponen'!H39)+('triple exponen'!$Q$7*'triple exponen'!G39)</f>
        <v>427997.19229214988</v>
      </c>
      <c r="I39" s="6">
        <f>($P$7*'Double Exponen'!I39)+('triple exponen'!$Q$7*'triple exponen'!H39)</f>
        <v>431414.29241705302</v>
      </c>
      <c r="J39" s="6">
        <f>($P$7*'Double Exponen'!J39)+('triple exponen'!$Q$7*'triple exponen'!I39)</f>
        <v>437512.31747790991</v>
      </c>
      <c r="K39" s="6">
        <f>($P$7*'Double Exponen'!K39)+('triple exponen'!$Q$7*'triple exponen'!J39)</f>
        <v>444905.69410978566</v>
      </c>
      <c r="L39" s="6">
        <f>($P$7*'Double Exponen'!L39)+('triple exponen'!$Q$7*'triple exponen'!K39)</f>
        <v>450225.22487937659</v>
      </c>
      <c r="M39" s="6">
        <f>($P$7*'Double Exponen'!M39)+('triple exponen'!$Q$7*'triple exponen'!L39)</f>
        <v>451483.84710561065</v>
      </c>
    </row>
    <row r="40" spans="1:13" x14ac:dyDescent="0.3">
      <c r="A40" s="6" t="str">
        <f t="shared" si="13"/>
        <v>Oil A 1000 LT</v>
      </c>
      <c r="B40" s="6">
        <f t="shared" si="13"/>
        <v>23458.3</v>
      </c>
      <c r="C40" s="6">
        <f>($P$7*'Double Exponen'!C40)+('triple exponen'!$Q$7*'triple exponen'!B40)</f>
        <v>24377.456700000002</v>
      </c>
      <c r="D40" s="6">
        <f>($P$7*'Double Exponen'!D40)+('triple exponen'!$Q$7*'triple exponen'!C40)</f>
        <v>25096.421450000002</v>
      </c>
      <c r="E40" s="6">
        <f>($P$7*'Double Exponen'!E40)+('triple exponen'!$Q$7*'triple exponen'!D40)</f>
        <v>26116.424854000004</v>
      </c>
      <c r="F40" s="6">
        <f>($P$7*'Double Exponen'!F40)+('triple exponen'!$Q$7*'triple exponen'!E40)</f>
        <v>26507.684160200002</v>
      </c>
      <c r="G40" s="6">
        <f>($P$7*'Double Exponen'!G40)+('triple exponen'!$Q$7*'triple exponen'!F40)</f>
        <v>28144.616819730003</v>
      </c>
      <c r="H40" s="6">
        <f>($P$7*'Double Exponen'!H40)+('triple exponen'!$Q$7*'triple exponen'!G40)</f>
        <v>31735.612921843007</v>
      </c>
      <c r="I40" s="6">
        <f>($P$7*'Double Exponen'!I40)+('triple exponen'!$Q$7*'triple exponen'!H40)</f>
        <v>34668.040003310802</v>
      </c>
      <c r="J40" s="6">
        <f>($P$7*'Double Exponen'!J40)+('triple exponen'!$Q$7*'triple exponen'!I40)</f>
        <v>34840.298326603246</v>
      </c>
      <c r="K40" s="6">
        <f>($P$7*'Double Exponen'!K40)+('triple exponen'!$Q$7*'triple exponen'!J40)</f>
        <v>34176.701934488345</v>
      </c>
      <c r="L40" s="6">
        <f>($P$7*'Double Exponen'!L40)+('triple exponen'!$Q$7*'triple exponen'!K40)</f>
        <v>33439.94559624065</v>
      </c>
      <c r="M40" s="6">
        <f>($P$7*'Double Exponen'!M40)+('triple exponen'!$Q$7*'triple exponen'!L40)</f>
        <v>33109.442640088186</v>
      </c>
    </row>
    <row r="41" spans="1:13" x14ac:dyDescent="0.3">
      <c r="A41" s="6" t="str">
        <f t="shared" si="13"/>
        <v>Oil B 20 LT</v>
      </c>
      <c r="B41" s="6">
        <f t="shared" si="13"/>
        <v>4698.6499999999996</v>
      </c>
      <c r="C41" s="6">
        <f>($P$7*'Double Exponen'!C41)+('triple exponen'!$Q$7*'triple exponen'!B41)</f>
        <v>4892.0211500000005</v>
      </c>
      <c r="D41" s="6">
        <f>($P$7*'Double Exponen'!D41)+('triple exponen'!$Q$7*'triple exponen'!C41)</f>
        <v>5149.9559250000002</v>
      </c>
      <c r="E41" s="6">
        <f>($P$7*'Double Exponen'!E41)+('triple exponen'!$Q$7*'triple exponen'!D41)</f>
        <v>5344.1856530000005</v>
      </c>
      <c r="F41" s="6">
        <f>($P$7*'Double Exponen'!F41)+('triple exponen'!$Q$7*'triple exponen'!E41)</f>
        <v>7407.2423599000003</v>
      </c>
      <c r="G41" s="6">
        <f>($P$7*'Double Exponen'!G41)+('triple exponen'!$Q$7*'triple exponen'!F41)</f>
        <v>8501.3809883850008</v>
      </c>
      <c r="H41" s="6">
        <f>($P$7*'Double Exponen'!H41)+('triple exponen'!$Q$7*'triple exponen'!G41)</f>
        <v>8941.1456237335005</v>
      </c>
      <c r="I41" s="6">
        <f>($P$7*'Double Exponen'!I41)+('triple exponen'!$Q$7*'triple exponen'!H41)</f>
        <v>9498.3410440696025</v>
      </c>
      <c r="J41" s="6">
        <f>($P$7*'Double Exponen'!J41)+('triple exponen'!$Q$7*'triple exponen'!I41)</f>
        <v>10148.059683211484</v>
      </c>
      <c r="K41" s="6">
        <f>($P$7*'Double Exponen'!K41)+('triple exponen'!$Q$7*'triple exponen'!J41)</f>
        <v>11685.560262575789</v>
      </c>
      <c r="L41" s="6">
        <f>($P$7*'Double Exponen'!L41)+('triple exponen'!$Q$7*'triple exponen'!K41)</f>
        <v>12225.055018010085</v>
      </c>
      <c r="M41" s="6">
        <f>($P$7*'Double Exponen'!M41)+('triple exponen'!$Q$7*'triple exponen'!L41)</f>
        <v>12209.347855932512</v>
      </c>
    </row>
    <row r="42" spans="1:13" x14ac:dyDescent="0.3">
      <c r="A42" s="6" t="str">
        <f t="shared" si="13"/>
        <v>Oil B 200 LT</v>
      </c>
      <c r="B42" s="6">
        <f t="shared" si="13"/>
        <v>1033.08</v>
      </c>
      <c r="C42" s="6">
        <f>($P$7*'Double Exponen'!C42)+('triple exponen'!$Q$7*'triple exponen'!B42)</f>
        <v>2230.8781399999998</v>
      </c>
      <c r="D42" s="6">
        <f>($P$7*'Double Exponen'!D42)+('triple exponen'!$Q$7*'triple exponen'!C42)</f>
        <v>3734.5102700000002</v>
      </c>
      <c r="E42" s="6">
        <f>($P$7*'Double Exponen'!E42)+('triple exponen'!$Q$7*'triple exponen'!D42)</f>
        <v>5203.9307568000004</v>
      </c>
      <c r="F42" s="6">
        <f>($P$7*'Double Exponen'!F42)+('triple exponen'!$Q$7*'triple exponen'!E42)</f>
        <v>6949.5841944400008</v>
      </c>
      <c r="G42" s="6">
        <f>($P$7*'Double Exponen'!G42)+('triple exponen'!$Q$7*'triple exponen'!F42)</f>
        <v>8304.3414567460004</v>
      </c>
      <c r="H42" s="6">
        <f>($P$7*'Double Exponen'!H42)+('triple exponen'!$Q$7*'triple exponen'!G42)</f>
        <v>11114.346293922603</v>
      </c>
      <c r="I42" s="6">
        <f>($P$7*'Double Exponen'!I42)+('triple exponen'!$Q$7*'triple exponen'!H42)</f>
        <v>13569.390382883565</v>
      </c>
      <c r="J42" s="6">
        <f>($P$7*'Double Exponen'!J42)+('triple exponen'!$Q$7*'triple exponen'!I42)</f>
        <v>15422.316267150532</v>
      </c>
      <c r="K42" s="6">
        <f>($P$7*'Double Exponen'!K42)+('triple exponen'!$Q$7*'triple exponen'!J42)</f>
        <v>17987.855249316886</v>
      </c>
      <c r="L42" s="6">
        <f>($P$7*'Double Exponen'!L42)+('triple exponen'!$Q$7*'triple exponen'!K42)</f>
        <v>20822.188366684066</v>
      </c>
      <c r="M42" s="6">
        <f>($P$7*'Double Exponen'!M42)+('triple exponen'!$Q$7*'triple exponen'!L42)</f>
        <v>23252.114940595653</v>
      </c>
    </row>
    <row r="43" spans="1:13" x14ac:dyDescent="0.3">
      <c r="A43" s="6">
        <f>A37+0.1</f>
        <v>0.79999999999999993</v>
      </c>
      <c r="B43" s="6" t="str">
        <f t="shared" ref="B43:M43" si="14">B37</f>
        <v>T1</v>
      </c>
      <c r="C43" s="6" t="str">
        <f t="shared" si="14"/>
        <v>T2</v>
      </c>
      <c r="D43" s="6" t="str">
        <f t="shared" si="14"/>
        <v>T3</v>
      </c>
      <c r="E43" s="6" t="str">
        <f t="shared" si="14"/>
        <v>T4</v>
      </c>
      <c r="F43" s="6" t="str">
        <f t="shared" si="14"/>
        <v>T5</v>
      </c>
      <c r="G43" s="6" t="str">
        <f t="shared" si="14"/>
        <v>T6</v>
      </c>
      <c r="H43" s="6" t="str">
        <f t="shared" si="14"/>
        <v>T7</v>
      </c>
      <c r="I43" s="6" t="str">
        <f t="shared" si="14"/>
        <v>T8</v>
      </c>
      <c r="J43" s="6" t="str">
        <f t="shared" si="14"/>
        <v>T9</v>
      </c>
      <c r="K43" s="6" t="str">
        <f t="shared" si="14"/>
        <v>T10</v>
      </c>
      <c r="L43" s="6" t="str">
        <f t="shared" si="14"/>
        <v>T11</v>
      </c>
      <c r="M43" s="6" t="str">
        <f t="shared" si="14"/>
        <v>T12</v>
      </c>
    </row>
    <row r="44" spans="1:13" x14ac:dyDescent="0.3">
      <c r="A44" s="6" t="str">
        <f t="shared" ref="A44:B48" si="15">A38</f>
        <v>Oil A 20 LT</v>
      </c>
      <c r="B44" s="6">
        <f t="shared" si="15"/>
        <v>12588.09</v>
      </c>
      <c r="C44" s="6">
        <f>($P$8*'Double Exponen'!C44)+('triple exponen'!$Q$8*'triple exponen'!B44)</f>
        <v>12088.99624</v>
      </c>
      <c r="D44" s="6">
        <f>($P$8*'Double Exponen'!D44)+('triple exponen'!$Q$8*'triple exponen'!C44)</f>
        <v>12479.284112000001</v>
      </c>
      <c r="E44" s="6">
        <f>($P$8*'Double Exponen'!E44)+('triple exponen'!$Q$8*'triple exponen'!D44)</f>
        <v>12551.104169600003</v>
      </c>
      <c r="F44" s="6">
        <f>($P$8*'Double Exponen'!F44)+('triple exponen'!$Q$8*'triple exponen'!E44)</f>
        <v>12342.047880320004</v>
      </c>
      <c r="G44" s="6">
        <f>($P$8*'Double Exponen'!G44)+('triple exponen'!$Q$8*'triple exponen'!F44)</f>
        <v>11997.337844608006</v>
      </c>
      <c r="H44" s="6">
        <f>($P$8*'Double Exponen'!H44)+('triple exponen'!$Q$8*'triple exponen'!G44)</f>
        <v>12280.545395968005</v>
      </c>
      <c r="I44" s="6">
        <f>($P$8*'Double Exponen'!I44)+('triple exponen'!$Q$8*'triple exponen'!H44)</f>
        <v>12316.947120606725</v>
      </c>
      <c r="J44" s="6">
        <f>($P$8*'Double Exponen'!J44)+('triple exponen'!$Q$8*'triple exponen'!I44)</f>
        <v>12228.648460807428</v>
      </c>
      <c r="K44" s="6">
        <f>($P$8*'Double Exponen'!K44)+('triple exponen'!$Q$8*'triple exponen'!J44)</f>
        <v>11950.569545061817</v>
      </c>
      <c r="L44" s="6">
        <f>($P$8*'Double Exponen'!L44)+('triple exponen'!$Q$8*'triple exponen'!K44)</f>
        <v>12249.287920599232</v>
      </c>
      <c r="M44" s="6">
        <f>($P$8*'Double Exponen'!M44)+('triple exponen'!$Q$8*'triple exponen'!L44)</f>
        <v>12346.022783343346</v>
      </c>
    </row>
    <row r="45" spans="1:13" x14ac:dyDescent="0.3">
      <c r="A45" s="6" t="str">
        <f t="shared" si="15"/>
        <v>Oil A 200 LT</v>
      </c>
      <c r="B45" s="6">
        <f t="shared" si="15"/>
        <v>459915.78</v>
      </c>
      <c r="C45" s="6">
        <f>($P$8*'Double Exponen'!C45)+('triple exponen'!$Q$8*'triple exponen'!B45)</f>
        <v>455903.29872000014</v>
      </c>
      <c r="D45" s="6">
        <f>($P$8*'Double Exponen'!D45)+('triple exponen'!$Q$8*'triple exponen'!C45)</f>
        <v>450176.23913600005</v>
      </c>
      <c r="E45" s="6">
        <f>($P$8*'Double Exponen'!E45)+('triple exponen'!$Q$8*'triple exponen'!D45)</f>
        <v>451802.62186880002</v>
      </c>
      <c r="F45" s="6">
        <f>($P$8*'Double Exponen'!F45)+('triple exponen'!$Q$8*'triple exponen'!E45)</f>
        <v>436554.5246489601</v>
      </c>
      <c r="G45" s="6">
        <f>($P$8*'Double Exponen'!G45)+('triple exponen'!$Q$8*'triple exponen'!F45)</f>
        <v>427215.57310502412</v>
      </c>
      <c r="H45" s="6">
        <f>($P$8*'Double Exponen'!H45)+('triple exponen'!$Q$8*'triple exponen'!G45)</f>
        <v>426685.96508422412</v>
      </c>
      <c r="I45" s="6">
        <f>($P$8*'Double Exponen'!I45)+('triple exponen'!$Q$8*'triple exponen'!H45)</f>
        <v>432280.58329484437</v>
      </c>
      <c r="J45" s="6">
        <f>($P$8*'Double Exponen'!J45)+('triple exponen'!$Q$8*'triple exponen'!I45)</f>
        <v>439513.0256813888</v>
      </c>
      <c r="K45" s="6">
        <f>($P$8*'Double Exponen'!K45)+('triple exponen'!$Q$8*'triple exponen'!J45)</f>
        <v>447461.69625089981</v>
      </c>
      <c r="L45" s="6">
        <f>($P$8*'Double Exponen'!L45)+('triple exponen'!$Q$8*'triple exponen'!K45)</f>
        <v>452222.66129222873</v>
      </c>
      <c r="M45" s="6">
        <f>($P$8*'Double Exponen'!M45)+('triple exponen'!$Q$8*'triple exponen'!L45)</f>
        <v>452153.33906406735</v>
      </c>
    </row>
    <row r="46" spans="1:13" x14ac:dyDescent="0.3">
      <c r="A46" s="6" t="str">
        <f t="shared" si="15"/>
        <v>Oil A 1000 LT</v>
      </c>
      <c r="B46" s="6">
        <f t="shared" si="15"/>
        <v>23458.3</v>
      </c>
      <c r="C46" s="6">
        <f>($P$8*'Double Exponen'!C46)+('triple exponen'!$Q$8*'triple exponen'!B46)</f>
        <v>24658.831200000004</v>
      </c>
      <c r="D46" s="6">
        <f>($P$8*'Double Exponen'!D46)+('triple exponen'!$Q$8*'triple exponen'!C46)</f>
        <v>25357.780960000004</v>
      </c>
      <c r="E46" s="6">
        <f>($P$8*'Double Exponen'!E46)+('triple exponen'!$Q$8*'triple exponen'!D46)</f>
        <v>26466.203168000004</v>
      </c>
      <c r="F46" s="6">
        <f>($P$8*'Double Exponen'!F46)+('triple exponen'!$Q$8*'triple exponen'!E46)</f>
        <v>26677.812057600004</v>
      </c>
      <c r="G46" s="6">
        <f>($P$8*'Double Exponen'!G46)+('triple exponen'!$Q$8*'triple exponen'!F46)</f>
        <v>28669.436122240004</v>
      </c>
      <c r="H46" s="6">
        <f>($P$8*'Double Exponen'!H46)+('triple exponen'!$Q$8*'triple exponen'!G46)</f>
        <v>32911.074249920006</v>
      </c>
      <c r="I46" s="6">
        <f>($P$8*'Double Exponen'!I46)+('triple exponen'!$Q$8*'triple exponen'!H46)</f>
        <v>35736.428110073612</v>
      </c>
      <c r="J46" s="6">
        <f>($P$8*'Double Exponen'!J46)+('triple exponen'!$Q$8*'triple exponen'!I46)</f>
        <v>35045.954543528329</v>
      </c>
      <c r="K46" s="6">
        <f>($P$8*'Double Exponen'!K46)+('triple exponen'!$Q$8*'triple exponen'!J46)</f>
        <v>33999.728335554508</v>
      </c>
      <c r="L46" s="6">
        <f>($P$8*'Double Exponen'!L46)+('triple exponen'!$Q$8*'triple exponen'!K46)</f>
        <v>33186.854830772172</v>
      </c>
      <c r="M46" s="6">
        <f>($P$8*'Double Exponen'!M46)+('triple exponen'!$Q$8*'triple exponen'!L46)</f>
        <v>32971.247109349046</v>
      </c>
    </row>
    <row r="47" spans="1:13" x14ac:dyDescent="0.3">
      <c r="A47" s="6" t="str">
        <f t="shared" si="15"/>
        <v>Oil B 20 LT</v>
      </c>
      <c r="B47" s="6">
        <f t="shared" si="15"/>
        <v>4698.6499999999996</v>
      </c>
      <c r="C47" s="6">
        <f>($P$8*'Double Exponen'!C47)+('triple exponen'!$Q$8*'triple exponen'!B47)</f>
        <v>4951.2164000000002</v>
      </c>
      <c r="D47" s="6">
        <f>($P$8*'Double Exponen'!D47)+('triple exponen'!$Q$8*'triple exponen'!C47)</f>
        <v>5237.5975200000003</v>
      </c>
      <c r="E47" s="6">
        <f>($P$8*'Double Exponen'!E47)+('triple exponen'!$Q$8*'triple exponen'!D47)</f>
        <v>5416.3294560000004</v>
      </c>
      <c r="F47" s="6">
        <f>($P$8*'Double Exponen'!F47)+('triple exponen'!$Q$8*'triple exponen'!E47)</f>
        <v>8049.0794752000002</v>
      </c>
      <c r="G47" s="6">
        <f>($P$8*'Double Exponen'!G47)+('triple exponen'!$Q$8*'triple exponen'!F47)</f>
        <v>8930.1783260800021</v>
      </c>
      <c r="H47" s="6">
        <f>($P$8*'Double Exponen'!H47)+('triple exponen'!$Q$8*'triple exponen'!G47)</f>
        <v>9136.76133424</v>
      </c>
      <c r="I47" s="6">
        <f>($P$8*'Double Exponen'!I47)+('triple exponen'!$Q$8*'triple exponen'!H47)</f>
        <v>9695.9012651872017</v>
      </c>
      <c r="J47" s="6">
        <f>($P$8*'Double Exponen'!J47)+('triple exponen'!$Q$8*'triple exponen'!I47)</f>
        <v>10374.941530786244</v>
      </c>
      <c r="K47" s="6">
        <f>($P$8*'Double Exponen'!K47)+('triple exponen'!$Q$8*'triple exponen'!J47)</f>
        <v>12188.687691979876</v>
      </c>
      <c r="L47" s="6">
        <f>($P$8*'Double Exponen'!L47)+('triple exponen'!$Q$8*'triple exponen'!K47)</f>
        <v>12463.147432806081</v>
      </c>
      <c r="M47" s="6">
        <f>($P$8*'Double Exponen'!M47)+('triple exponen'!$Q$8*'triple exponen'!L47)</f>
        <v>12237.813040964258</v>
      </c>
    </row>
    <row r="48" spans="1:13" x14ac:dyDescent="0.3">
      <c r="A48" s="6" t="str">
        <f t="shared" si="15"/>
        <v>Oil B 200 LT</v>
      </c>
      <c r="B48" s="6">
        <f t="shared" si="15"/>
        <v>1033.08</v>
      </c>
      <c r="C48" s="6">
        <f>($P$8*'Double Exponen'!C48)+('triple exponen'!$Q$8*'triple exponen'!B48)</f>
        <v>2597.5510399999998</v>
      </c>
      <c r="D48" s="6">
        <f>($P$8*'Double Exponen'!D48)+('triple exponen'!$Q$8*'triple exponen'!C48)</f>
        <v>4248.5845120000004</v>
      </c>
      <c r="E48" s="6">
        <f>($P$8*'Double Exponen'!E48)+('triple exponen'!$Q$8*'triple exponen'!D48)</f>
        <v>5728.1079295999998</v>
      </c>
      <c r="F48" s="6">
        <f>($P$8*'Double Exponen'!F48)+('triple exponen'!$Q$8*'triple exponen'!E48)</f>
        <v>7559.1207411200012</v>
      </c>
      <c r="G48" s="6">
        <f>($P$8*'Double Exponen'!G48)+('triple exponen'!$Q$8*'triple exponen'!F48)</f>
        <v>8806.5333940480014</v>
      </c>
      <c r="H48" s="6">
        <f>($P$8*'Double Exponen'!H48)+('triple exponen'!$Q$8*'triple exponen'!G48)</f>
        <v>12045.984361280003</v>
      </c>
      <c r="I48" s="6">
        <f>($P$8*'Double Exponen'!I48)+('triple exponen'!$Q$8*'triple exponen'!H48)</f>
        <v>14455.583298725123</v>
      </c>
      <c r="J48" s="6">
        <f>($P$8*'Double Exponen'!J48)+('triple exponen'!$Q$8*'triple exponen'!I48)</f>
        <v>16116.358946016386</v>
      </c>
      <c r="K48" s="6">
        <f>($P$8*'Double Exponen'!K48)+('triple exponen'!$Q$8*'triple exponen'!J48)</f>
        <v>18871.697387337335</v>
      </c>
      <c r="L48" s="6">
        <f>($P$8*'Double Exponen'!L48)+('triple exponen'!$Q$8*'triple exponen'!K48)</f>
        <v>21816.65634388609</v>
      </c>
      <c r="M48" s="6">
        <f>($P$8*'Double Exponen'!M48)+('triple exponen'!$Q$8*'triple exponen'!L48)</f>
        <v>24138.598094173569</v>
      </c>
    </row>
    <row r="49" spans="1:13" x14ac:dyDescent="0.3">
      <c r="A49" s="6">
        <f>A43+0.1</f>
        <v>0.89999999999999991</v>
      </c>
      <c r="B49" s="6" t="str">
        <f t="shared" ref="B49:M49" si="16">B43</f>
        <v>T1</v>
      </c>
      <c r="C49" s="6" t="str">
        <f t="shared" si="16"/>
        <v>T2</v>
      </c>
      <c r="D49" s="6" t="str">
        <f t="shared" si="16"/>
        <v>T3</v>
      </c>
      <c r="E49" s="6" t="str">
        <f t="shared" si="16"/>
        <v>T4</v>
      </c>
      <c r="F49" s="6" t="str">
        <f t="shared" si="16"/>
        <v>T5</v>
      </c>
      <c r="G49" s="6" t="str">
        <f t="shared" si="16"/>
        <v>T6</v>
      </c>
      <c r="H49" s="6" t="str">
        <f t="shared" si="16"/>
        <v>T7</v>
      </c>
      <c r="I49" s="6" t="str">
        <f t="shared" si="16"/>
        <v>T8</v>
      </c>
      <c r="J49" s="6" t="str">
        <f t="shared" si="16"/>
        <v>T9</v>
      </c>
      <c r="K49" s="6" t="str">
        <f t="shared" si="16"/>
        <v>T10</v>
      </c>
      <c r="L49" s="6" t="str">
        <f t="shared" si="16"/>
        <v>T11</v>
      </c>
      <c r="M49" s="6" t="str">
        <f t="shared" si="16"/>
        <v>T12</v>
      </c>
    </row>
    <row r="50" spans="1:13" x14ac:dyDescent="0.3">
      <c r="A50" s="6" t="str">
        <f t="shared" ref="A50:B54" si="17">A44</f>
        <v>Oil A 20 LT</v>
      </c>
      <c r="B50" s="6">
        <f t="shared" si="17"/>
        <v>12588.09</v>
      </c>
      <c r="C50" s="6">
        <f>($P$9*'Double Exponen'!C50)+('triple exponen'!$Q$9*'triple exponen'!B50)</f>
        <v>11956.42446</v>
      </c>
      <c r="D50" s="6">
        <f>($P$9*'Double Exponen'!D50)+('triple exponen'!$Q$9*'triple exponen'!C50)</f>
        <v>12576.715656000002</v>
      </c>
      <c r="E50" s="6">
        <f>($P$9*'Double Exponen'!E50)+('triple exponen'!$Q$9*'triple exponen'!D50)</f>
        <v>12575.137954200003</v>
      </c>
      <c r="F50" s="6">
        <f>($P$9*'Double Exponen'!F50)+('triple exponen'!$Q$9*'triple exponen'!E50)</f>
        <v>12287.432055120005</v>
      </c>
      <c r="G50" s="6">
        <f>($P$9*'Double Exponen'!G50)+('triple exponen'!$Q$9*'triple exponen'!F50)</f>
        <v>11903.103650238005</v>
      </c>
      <c r="H50" s="6">
        <f>($P$9*'Double Exponen'!H50)+('triple exponen'!$Q$9*'triple exponen'!G50)</f>
        <v>12351.475566376805</v>
      </c>
      <c r="I50" s="6">
        <f>($P$9*'Double Exponen'!I50)+('triple exponen'!$Q$9*'triple exponen'!H50)</f>
        <v>12330.239397965344</v>
      </c>
      <c r="J50" s="6">
        <f>($P$9*'Double Exponen'!J50)+('triple exponen'!$Q$9*'triple exponen'!I50)</f>
        <v>12205.664463002429</v>
      </c>
      <c r="K50" s="6">
        <f>($P$9*'Double Exponen'!K50)+('triple exponen'!$Q$9*'triple exponen'!J50)</f>
        <v>11875.56224378665</v>
      </c>
      <c r="L50" s="6">
        <f>($P$9*'Double Exponen'!L50)+('triple exponen'!$Q$9*'triple exponen'!K50)</f>
        <v>12325.160324776542</v>
      </c>
      <c r="M50" s="6">
        <f>($P$9*'Double Exponen'!M50)+('triple exponen'!$Q$9*'triple exponen'!L50)</f>
        <v>12375.507101101754</v>
      </c>
    </row>
    <row r="51" spans="1:13" x14ac:dyDescent="0.3">
      <c r="A51" s="6" t="str">
        <f t="shared" si="17"/>
        <v>Oil A 200 LT</v>
      </c>
      <c r="B51" s="6">
        <f t="shared" si="17"/>
        <v>459915.78</v>
      </c>
      <c r="C51" s="6">
        <f>($P$9*'Double Exponen'!C51)+('triple exponen'!$Q$9*'triple exponen'!B51)</f>
        <v>454837.48337999999</v>
      </c>
      <c r="D51" s="6">
        <f>($P$9*'Double Exponen'!D51)+('triple exponen'!$Q$9*'triple exponen'!C51)</f>
        <v>448604.83291800006</v>
      </c>
      <c r="E51" s="6">
        <f>($P$9*'Double Exponen'!E51)+('triple exponen'!$Q$9*'triple exponen'!D51)</f>
        <v>452163.66848760005</v>
      </c>
      <c r="F51" s="6">
        <f>($P$9*'Double Exponen'!F51)+('triple exponen'!$Q$9*'triple exponen'!E51)</f>
        <v>432526.10041236004</v>
      </c>
      <c r="G51" s="6">
        <f>($P$9*'Double Exponen'!G51)+('triple exponen'!$Q$9*'triple exponen'!F51)</f>
        <v>424545.07273721404</v>
      </c>
      <c r="H51" s="6">
        <f>($P$9*'Double Exponen'!H51)+('triple exponen'!$Q$9*'triple exponen'!G51)</f>
        <v>426430.86702897545</v>
      </c>
      <c r="I51" s="6">
        <f>($P$9*'Double Exponen'!I51)+('triple exponen'!$Q$9*'triple exponen'!H51)</f>
        <v>433763.85447551368</v>
      </c>
      <c r="J51" s="6">
        <f>($P$9*'Double Exponen'!J51)+('triple exponen'!$Q$9*'triple exponen'!I51)</f>
        <v>441506.06704219466</v>
      </c>
      <c r="K51" s="6">
        <f>($P$9*'Double Exponen'!K51)+('triple exponen'!$Q$9*'triple exponen'!J51)</f>
        <v>449663.01945932733</v>
      </c>
      <c r="L51" s="6">
        <f>($P$9*'Double Exponen'!L51)+('triple exponen'!$Q$9*'triple exponen'!K51)</f>
        <v>453584.71211752272</v>
      </c>
      <c r="M51" s="6">
        <f>($P$9*'Double Exponen'!M51)+('triple exponen'!$Q$9*'triple exponen'!L51)</f>
        <v>452191.90807538258</v>
      </c>
    </row>
    <row r="52" spans="1:13" x14ac:dyDescent="0.3">
      <c r="A52" s="6" t="str">
        <f t="shared" si="17"/>
        <v>Oil A 1000 LT</v>
      </c>
      <c r="B52" s="6">
        <f t="shared" si="17"/>
        <v>23458.3</v>
      </c>
      <c r="C52" s="6">
        <f>($P$9*'Double Exponen'!C52)+('triple exponen'!$Q$9*'triple exponen'!B52)</f>
        <v>24977.722299999998</v>
      </c>
      <c r="D52" s="6">
        <f>($P$9*'Double Exponen'!D52)+('triple exponen'!$Q$9*'triple exponen'!C52)</f>
        <v>25558.446129999997</v>
      </c>
      <c r="E52" s="6">
        <f>($P$9*'Double Exponen'!E52)+('triple exponen'!$Q$9*'triple exponen'!D52)</f>
        <v>26769.177106000003</v>
      </c>
      <c r="F52" s="6">
        <f>($P$9*'Double Exponen'!F52)+('triple exponen'!$Q$9*'triple exponen'!E52)</f>
        <v>26747.579152600003</v>
      </c>
      <c r="G52" s="6">
        <f>($P$9*'Double Exponen'!G52)+('triple exponen'!$Q$9*'triple exponen'!F52)</f>
        <v>29200.788332890006</v>
      </c>
      <c r="H52" s="6">
        <f>($P$9*'Double Exponen'!H52)+('triple exponen'!$Q$9*'triple exponen'!G52)</f>
        <v>34062.42242113901</v>
      </c>
      <c r="I52" s="6">
        <f>($P$9*'Double Exponen'!I52)+('triple exponen'!$Q$9*'triple exponen'!H52)</f>
        <v>36539.552292377215</v>
      </c>
      <c r="J52" s="6">
        <f>($P$9*'Double Exponen'!J52)+('triple exponen'!$Q$9*'triple exponen'!I52)</f>
        <v>34896.878856594529</v>
      </c>
      <c r="K52" s="6">
        <f>($P$9*'Double Exponen'!K52)+('triple exponen'!$Q$9*'triple exponen'!J52)</f>
        <v>33712.028608492561</v>
      </c>
      <c r="L52" s="6">
        <f>($P$9*'Double Exponen'!L52)+('triple exponen'!$Q$9*'triple exponen'!K52)</f>
        <v>32957.389057220251</v>
      </c>
      <c r="M52" s="6">
        <f>($P$9*'Double Exponen'!M52)+('triple exponen'!$Q$9*'triple exponen'!L52)</f>
        <v>32903.983137038042</v>
      </c>
    </row>
    <row r="53" spans="1:13" x14ac:dyDescent="0.3">
      <c r="A53" s="6" t="str">
        <f t="shared" si="17"/>
        <v>Oil B 20 LT</v>
      </c>
      <c r="B53" s="6">
        <f t="shared" si="17"/>
        <v>4698.6499999999996</v>
      </c>
      <c r="C53" s="6">
        <f>($P$9*'Double Exponen'!C53)+('triple exponen'!$Q$9*'triple exponen'!B53)</f>
        <v>5018.3043500000003</v>
      </c>
      <c r="D53" s="6">
        <f>($P$9*'Double Exponen'!D53)+('triple exponen'!$Q$9*'triple exponen'!C53)</f>
        <v>5316.8245850000003</v>
      </c>
      <c r="E53" s="6">
        <f>($P$9*'Double Exponen'!E53)+('triple exponen'!$Q$9*'triple exponen'!D53)</f>
        <v>5467.3454270000002</v>
      </c>
      <c r="F53" s="6">
        <f>($P$9*'Double Exponen'!F53)+('triple exponen'!$Q$9*'triple exponen'!E53)</f>
        <v>8750.5536376999989</v>
      </c>
      <c r="G53" s="6">
        <f>($P$9*'Double Exponen'!G53)+('triple exponen'!$Q$9*'triple exponen'!F53)</f>
        <v>9197.0494116049995</v>
      </c>
      <c r="H53" s="6">
        <f>($P$9*'Double Exponen'!H53)+('triple exponen'!$Q$9*'triple exponen'!G53)</f>
        <v>9202.1997804455023</v>
      </c>
      <c r="I53" s="6">
        <f>($P$9*'Double Exponen'!I53)+('triple exponen'!$Q$9*'triple exponen'!H53)</f>
        <v>9846.4493530244017</v>
      </c>
      <c r="J53" s="6">
        <f>($P$9*'Double Exponen'!J53)+('triple exponen'!$Q$9*'triple exponen'!I53)</f>
        <v>10562.051774746642</v>
      </c>
      <c r="K53" s="6">
        <f>($P$9*'Double Exponen'!K53)+('triple exponen'!$Q$9*'triple exponen'!J53)</f>
        <v>12678.794573170679</v>
      </c>
      <c r="L53" s="6">
        <f>($P$9*'Double Exponen'!L53)+('triple exponen'!$Q$9*'triple exponen'!K53)</f>
        <v>12558.517637463105</v>
      </c>
      <c r="M53" s="6">
        <f>($P$9*'Double Exponen'!M53)+('triple exponen'!$Q$9*'triple exponen'!L53)</f>
        <v>12180.981638279707</v>
      </c>
    </row>
    <row r="54" spans="1:13" x14ac:dyDescent="0.3">
      <c r="A54" s="6" t="str">
        <f t="shared" si="17"/>
        <v>Oil B 200 LT</v>
      </c>
      <c r="B54" s="6">
        <f t="shared" si="17"/>
        <v>1033.08</v>
      </c>
      <c r="C54" s="6">
        <f>($P$9*'Double Exponen'!C54)+('triple exponen'!$Q$9*'triple exponen'!B54)</f>
        <v>3013.11366</v>
      </c>
      <c r="D54" s="6">
        <f>($P$9*'Double Exponen'!D54)+('triple exponen'!$Q$9*'triple exponen'!C54)</f>
        <v>4706.6961660000006</v>
      </c>
      <c r="E54" s="6">
        <f>($P$9*'Double Exponen'!E54)+('triple exponen'!$Q$9*'triple exponen'!D54)</f>
        <v>6141.4998072000008</v>
      </c>
      <c r="F54" s="6">
        <f>($P$9*'Double Exponen'!F54)+('triple exponen'!$Q$9*'triple exponen'!E54)</f>
        <v>8063.4751393200013</v>
      </c>
      <c r="G54" s="6">
        <f>($P$9*'Double Exponen'!G54)+('triple exponen'!$Q$9*'triple exponen'!F54)</f>
        <v>9160.2294453780032</v>
      </c>
      <c r="H54" s="6">
        <f>($P$9*'Double Exponen'!H54)+('triple exponen'!$Q$9*'triple exponen'!G54)</f>
        <v>12921.483051709802</v>
      </c>
      <c r="I54" s="6">
        <f>($P$9*'Double Exponen'!I54)+('triple exponen'!$Q$9*'triple exponen'!H54)</f>
        <v>15135.593098512843</v>
      </c>
      <c r="J54" s="6">
        <f>($P$9*'Double Exponen'!J54)+('triple exponen'!$Q$9*'triple exponen'!I54)</f>
        <v>16586.859493547669</v>
      </c>
      <c r="K54" s="6">
        <f>($P$9*'Double Exponen'!K54)+('triple exponen'!$Q$9*'triple exponen'!J54)</f>
        <v>19623.415161650388</v>
      </c>
      <c r="L54" s="6">
        <f>($P$9*'Double Exponen'!L54)+('triple exponen'!$Q$9*'triple exponen'!K54)</f>
        <v>22632.613991927981</v>
      </c>
      <c r="M54" s="6">
        <f>($P$9*'Double Exponen'!M54)+('triple exponen'!$Q$9*'triple exponen'!L54)</f>
        <v>24791.399265849137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65D26-FA1B-410C-9FEA-F2DEFF2960E6}">
  <dimension ref="A1:P54"/>
  <sheetViews>
    <sheetView workbookViewId="0">
      <selection activeCell="J3" sqref="J3"/>
    </sheetView>
  </sheetViews>
  <sheetFormatPr defaultColWidth="8.88671875" defaultRowHeight="14.4" x14ac:dyDescent="0.3"/>
  <cols>
    <col min="1" max="1" width="14.109375" style="1" bestFit="1" customWidth="1"/>
    <col min="2" max="5" width="9.44140625" style="1" bestFit="1" customWidth="1"/>
    <col min="6" max="6" width="10.109375" style="1" bestFit="1" customWidth="1"/>
    <col min="7" max="13" width="9.44140625" style="1" bestFit="1" customWidth="1"/>
    <col min="14" max="15" width="8.88671875" style="1"/>
    <col min="16" max="16" width="2" style="1" bestFit="1" customWidth="1"/>
    <col min="17" max="16384" width="8.88671875" style="1"/>
  </cols>
  <sheetData>
    <row r="1" spans="1:16" x14ac:dyDescent="0.3">
      <c r="A1" s="7">
        <f>'triple exponen'!A1</f>
        <v>0.1</v>
      </c>
      <c r="B1" s="3" t="str">
        <f>'triple exponen'!B1</f>
        <v>T1</v>
      </c>
      <c r="C1" s="3" t="str">
        <f>'triple exponen'!C1</f>
        <v>T2</v>
      </c>
      <c r="D1" s="3" t="str">
        <f>'triple exponen'!D1</f>
        <v>T3</v>
      </c>
      <c r="E1" s="3" t="str">
        <f>'triple exponen'!E1</f>
        <v>T4</v>
      </c>
      <c r="F1" s="3" t="str">
        <f>'triple exponen'!F1</f>
        <v>T5</v>
      </c>
      <c r="G1" s="3" t="str">
        <f>'triple exponen'!G1</f>
        <v>T6</v>
      </c>
      <c r="H1" s="3" t="str">
        <f>'triple exponen'!H1</f>
        <v>T7</v>
      </c>
      <c r="I1" s="3" t="str">
        <f>'triple exponen'!I1</f>
        <v>T8</v>
      </c>
      <c r="J1" s="3" t="str">
        <f>'triple exponen'!J1</f>
        <v>T9</v>
      </c>
      <c r="K1" s="3" t="str">
        <f>'triple exponen'!K1</f>
        <v>T10</v>
      </c>
      <c r="L1" s="3" t="str">
        <f>'triple exponen'!L1</f>
        <v>T11</v>
      </c>
      <c r="M1" s="3" t="str">
        <f>'triple exponen'!M1</f>
        <v>T12</v>
      </c>
      <c r="P1" s="1">
        <v>3</v>
      </c>
    </row>
    <row r="2" spans="1:16" x14ac:dyDescent="0.3">
      <c r="A2" s="3" t="str">
        <f>'triple exponen'!A2</f>
        <v>Oil A 20 LT</v>
      </c>
      <c r="B2" s="7">
        <f>($P$1*'Single Exponen'!B2)-('Konstanta a triple'!$P$1*'Double Exponen'!B2)+'triple exponen'!B2</f>
        <v>12588.09</v>
      </c>
      <c r="C2" s="7">
        <f>($P$1*'Single Exponen'!C2)-('Konstanta a triple'!$P$1*'Double Exponen'!C2)+'triple exponen'!C2</f>
        <v>10474.73986</v>
      </c>
      <c r="D2" s="7">
        <f>($P$1*'Single Exponen'!D2)-('Konstanta a triple'!$P$1*'Double Exponen'!D2)+'triple exponen'!D2</f>
        <v>13169.223292000002</v>
      </c>
      <c r="E2" s="7">
        <f>($P$1*'Single Exponen'!E2)-('Konstanta a triple'!$P$1*'Double Exponen'!E2)+'triple exponen'!E2</f>
        <v>12666.018838600005</v>
      </c>
      <c r="F2" s="7">
        <f>($P$1*'Single Exponen'!F2)-('Konstanta a triple'!$P$1*'Double Exponen'!F2)+'triple exponen'!F2</f>
        <v>11712.528992600006</v>
      </c>
      <c r="G2" s="7">
        <f>($P$1*'Single Exponen'!G2)-('Konstanta a triple'!$P$1*'Double Exponen'!G2)+'triple exponen'!G2</f>
        <v>10695.460972089997</v>
      </c>
      <c r="H2" s="7">
        <f>($P$1*'Single Exponen'!H2)-('Konstanta a triple'!$P$1*'Double Exponen'!H2)+'triple exponen'!H2</f>
        <v>12610.906005964405</v>
      </c>
      <c r="I2" s="7">
        <f>($P$1*'Single Exponen'!I2)-('Konstanta a triple'!$P$1*'Double Exponen'!I2)+'triple exponen'!I2</f>
        <v>12209.910249530592</v>
      </c>
      <c r="J2" s="7">
        <f>($P$1*'Single Exponen'!J2)-('Konstanta a triple'!$P$1*'Double Exponen'!J2)+'triple exponen'!J2</f>
        <v>11842.886537892682</v>
      </c>
      <c r="K2" s="7">
        <f>($P$1*'Single Exponen'!K2)-('Konstanta a triple'!$P$1*'Double Exponen'!K2)+'triple exponen'!K2</f>
        <v>10874.698454298989</v>
      </c>
      <c r="L2" s="7">
        <f>($P$1*'Single Exponen'!L2)-('Konstanta a triple'!$P$1*'Double Exponen'!L2)+'triple exponen'!L2</f>
        <v>12736.840791435832</v>
      </c>
      <c r="M2" s="7">
        <f>($P$1*'Single Exponen'!M2)-('Konstanta a triple'!$P$1*'Double Exponen'!M2)+'triple exponen'!M2</f>
        <v>12555.594139053979</v>
      </c>
    </row>
    <row r="3" spans="1:16" x14ac:dyDescent="0.3">
      <c r="A3" s="3" t="str">
        <f>'triple exponen'!A3</f>
        <v>Oil A 200 LT</v>
      </c>
      <c r="B3" s="7">
        <f>($P$1*'Single Exponen'!B3)-('Konstanta a triple'!$P$1*'Double Exponen'!B3)+'triple exponen'!B3</f>
        <v>459915.78</v>
      </c>
      <c r="C3" s="7">
        <f>($P$1*'Single Exponen'!C3)-('Konstanta a triple'!$P$1*'Double Exponen'!C3)+'triple exponen'!C3</f>
        <v>442925.42958</v>
      </c>
      <c r="D3" s="7">
        <f>($P$1*'Single Exponen'!D3)-('Konstanta a triple'!$P$1*'Double Exponen'!D3)+'triple exponen'!D3</f>
        <v>427050.96632599988</v>
      </c>
      <c r="E3" s="7">
        <f>($P$1*'Single Exponen'!E3)-('Konstanta a triple'!$P$1*'Double Exponen'!E3)+'triple exponen'!E3</f>
        <v>445952.47786079999</v>
      </c>
      <c r="F3" s="7">
        <f>($P$1*'Single Exponen'!F3)-('Konstanta a triple'!$P$1*'Double Exponen'!F3)+'triple exponen'!F3</f>
        <v>378779.31523579999</v>
      </c>
      <c r="G3" s="7">
        <f>($P$1*'Single Exponen'!G3)-('Konstanta a triple'!$P$1*'Double Exponen'!G3)+'triple exponen'!G3</f>
        <v>372652.31394657015</v>
      </c>
      <c r="H3" s="7">
        <f>($P$1*'Single Exponen'!H3)-('Konstanta a triple'!$P$1*'Double Exponen'!H3)+'triple exponen'!H3</f>
        <v>391238.49481326807</v>
      </c>
      <c r="I3" s="7">
        <f>($P$1*'Single Exponen'!I3)-('Konstanta a triple'!$P$1*'Double Exponen'!I3)+'triple exponen'!I3</f>
        <v>419798.71153255727</v>
      </c>
      <c r="J3" s="7">
        <f>($P$1*'Single Exponen'!J3)-('Konstanta a triple'!$P$1*'Double Exponen'!J3)+'triple exponen'!J3</f>
        <v>443520.33786871209</v>
      </c>
      <c r="K3" s="7">
        <f>($P$1*'Single Exponen'!K3)-('Konstanta a triple'!$P$1*'Double Exponen'!K3)+'triple exponen'!K3</f>
        <v>466203.83998028177</v>
      </c>
      <c r="L3" s="7">
        <f>($P$1*'Single Exponen'!L3)-('Konstanta a triple'!$P$1*'Double Exponen'!L3)+'triple exponen'!L3</f>
        <v>472306.37241302413</v>
      </c>
      <c r="M3" s="7">
        <f>($P$1*'Single Exponen'!M3)-('Konstanta a triple'!$P$1*'Double Exponen'!M3)+'triple exponen'!M3</f>
        <v>462956.1114093716</v>
      </c>
    </row>
    <row r="4" spans="1:16" x14ac:dyDescent="0.3">
      <c r="A4" s="3" t="str">
        <f>'triple exponen'!A4</f>
        <v>Oil A 1000 LT</v>
      </c>
      <c r="B4" s="7">
        <f>($P$1*'Single Exponen'!B4)-('Konstanta a triple'!$P$1*'Double Exponen'!B4)+'triple exponen'!B4</f>
        <v>23458.3</v>
      </c>
      <c r="C4" s="7">
        <f>($P$1*'Single Exponen'!C4)-('Konstanta a triple'!$P$1*'Double Exponen'!C4)+'triple exponen'!C4</f>
        <v>28541.799299999995</v>
      </c>
      <c r="D4" s="7">
        <f>($P$1*'Single Exponen'!D4)-('Konstanta a triple'!$P$1*'Double Exponen'!D4)+'triple exponen'!D4</f>
        <v>28995.30580999998</v>
      </c>
      <c r="E4" s="7">
        <f>($P$1*'Single Exponen'!E4)-('Konstanta a triple'!$P$1*'Double Exponen'!E4)+'triple exponen'!E4</f>
        <v>32211.903087999981</v>
      </c>
      <c r="F4" s="7">
        <f>($P$1*'Single Exponen'!F4)-('Konstanta a triple'!$P$1*'Double Exponen'!F4)+'triple exponen'!F4</f>
        <v>30573.372508999993</v>
      </c>
      <c r="G4" s="7">
        <f>($P$1*'Single Exponen'!G4)-('Konstanta a triple'!$P$1*'Double Exponen'!G4)+'triple exponen'!G4</f>
        <v>38244.125005949987</v>
      </c>
      <c r="H4" s="7">
        <f>($P$1*'Single Exponen'!H4)-('Konstanta a triple'!$P$1*'Double Exponen'!H4)+'triple exponen'!H4</f>
        <v>51587.064470346988</v>
      </c>
      <c r="I4" s="7">
        <f>($P$1*'Single Exponen'!I4)-('Konstanta a triple'!$P$1*'Double Exponen'!I4)+'triple exponen'!I4</f>
        <v>54235.035664539406</v>
      </c>
      <c r="J4" s="7">
        <f>($P$1*'Single Exponen'!J4)-('Konstanta a triple'!$P$1*'Double Exponen'!J4)+'triple exponen'!J4</f>
        <v>44629.40276065073</v>
      </c>
      <c r="K4" s="7">
        <f>($P$1*'Single Exponen'!K4)-('Konstanta a triple'!$P$1*'Double Exponen'!K4)+'triple exponen'!K4</f>
        <v>40233.724887809178</v>
      </c>
      <c r="L4" s="7">
        <f>($P$1*'Single Exponen'!L4)-('Konstanta a triple'!$P$1*'Double Exponen'!L4)+'triple exponen'!L4</f>
        <v>37313.150588152712</v>
      </c>
      <c r="M4" s="7">
        <f>($P$1*'Single Exponen'!M4)-('Konstanta a triple'!$P$1*'Double Exponen'!M4)+'triple exponen'!M4</f>
        <v>36791.22862315044</v>
      </c>
    </row>
    <row r="5" spans="1:16" x14ac:dyDescent="0.3">
      <c r="A5" s="3" t="str">
        <f>'triple exponen'!A5</f>
        <v>Oil B 20 LT</v>
      </c>
      <c r="B5" s="7">
        <f>($P$1*'Single Exponen'!B5)-('Konstanta a triple'!$P$1*'Double Exponen'!B5)+'triple exponen'!B5</f>
        <v>4698.6499999999996</v>
      </c>
      <c r="C5" s="7">
        <f>($P$1*'Single Exponen'!C5)-('Konstanta a triple'!$P$1*'Double Exponen'!C5)+'triple exponen'!C5</f>
        <v>5768.1108500000009</v>
      </c>
      <c r="D5" s="7">
        <f>($P$1*'Single Exponen'!D5)-('Konstanta a triple'!$P$1*'Double Exponen'!D5)+'triple exponen'!D5</f>
        <v>6453.5235450000027</v>
      </c>
      <c r="E5" s="7">
        <f>($P$1*'Single Exponen'!E5)-('Konstanta a triple'!$P$1*'Double Exponen'!E5)+'triple exponen'!E5</f>
        <v>6608.7719659999993</v>
      </c>
      <c r="F5" s="7">
        <f>($P$1*'Single Exponen'!F5)-('Konstanta a triple'!$P$1*'Double Exponen'!F5)+'triple exponen'!F5</f>
        <v>17335.214573499998</v>
      </c>
      <c r="G5" s="7">
        <f>($P$1*'Single Exponen'!G5)-('Konstanta a triple'!$P$1*'Double Exponen'!G5)+'triple exponen'!G5</f>
        <v>15479.156835375001</v>
      </c>
      <c r="H5" s="7">
        <f>($P$1*'Single Exponen'!H5)-('Konstanta a triple'!$P$1*'Double Exponen'!H5)+'triple exponen'!H5</f>
        <v>14367.803755121502</v>
      </c>
      <c r="I5" s="7">
        <f>($P$1*'Single Exponen'!I5)-('Konstanta a triple'!$P$1*'Double Exponen'!I5)+'triple exponen'!I5</f>
        <v>15736.803082948301</v>
      </c>
      <c r="J5" s="7">
        <f>($P$1*'Single Exponen'!J5)-('Konstanta a triple'!$P$1*'Double Exponen'!J5)+'triple exponen'!J5</f>
        <v>16808.504062003543</v>
      </c>
      <c r="K5" s="7">
        <f>($P$1*'Single Exponen'!K5)-('Konstanta a triple'!$P$1*'Double Exponen'!K5)+'triple exponen'!K5</f>
        <v>22479.965613328764</v>
      </c>
      <c r="L5" s="7">
        <f>($P$1*'Single Exponen'!L5)-('Konstanta a triple'!$P$1*'Double Exponen'!L5)+'triple exponen'!L5</f>
        <v>19245.665532788367</v>
      </c>
      <c r="M5" s="7">
        <f>($P$1*'Single Exponen'!M5)-('Konstanta a triple'!$P$1*'Double Exponen'!M5)+'triple exponen'!M5</f>
        <v>17056.062699340277</v>
      </c>
    </row>
    <row r="6" spans="1:16" x14ac:dyDescent="0.3">
      <c r="A6" s="3" t="str">
        <f>'triple exponen'!A6</f>
        <v>Oil B 200 LT</v>
      </c>
      <c r="B6" s="7">
        <f>($P$1*'Single Exponen'!B6)-('Konstanta a triple'!$P$1*'Double Exponen'!B6)+'triple exponen'!B6</f>
        <v>1033.08</v>
      </c>
      <c r="C6" s="7">
        <f>($P$1*'Single Exponen'!C6)-('Konstanta a triple'!$P$1*'Double Exponen'!C6)+'triple exponen'!C6</f>
        <v>7657.6370600000009</v>
      </c>
      <c r="D6" s="7">
        <f>($P$1*'Single Exponen'!D6)-('Konstanta a triple'!$P$1*'Double Exponen'!D6)+'triple exponen'!D6</f>
        <v>11382.898622000004</v>
      </c>
      <c r="E6" s="7">
        <f>($P$1*'Single Exponen'!E6)-('Konstanta a triple'!$P$1*'Double Exponen'!E6)+'triple exponen'!E6</f>
        <v>14178.000603599998</v>
      </c>
      <c r="F6" s="7">
        <f>($P$1*'Single Exponen'!F6)-('Konstanta a triple'!$P$1*'Double Exponen'!F6)+'triple exponen'!F6</f>
        <v>18544.058154999999</v>
      </c>
      <c r="G6" s="7">
        <f>($P$1*'Single Exponen'!G6)-('Konstanta a triple'!$P$1*'Double Exponen'!G6)+'triple exponen'!G6</f>
        <v>19455.568137189999</v>
      </c>
      <c r="H6" s="7">
        <f>($P$1*'Single Exponen'!H6)-('Konstanta a triple'!$P$1*'Double Exponen'!H6)+'triple exponen'!H6</f>
        <v>29827.524163787406</v>
      </c>
      <c r="I6" s="7">
        <f>($P$1*'Single Exponen'!I6)-('Konstanta a triple'!$P$1*'Double Exponen'!I6)+'triple exponen'!I6</f>
        <v>32312.673873849286</v>
      </c>
      <c r="J6" s="7">
        <f>($P$1*'Single Exponen'!J6)-('Konstanta a triple'!$P$1*'Double Exponen'!J6)+'triple exponen'!J6</f>
        <v>33239.893653401188</v>
      </c>
      <c r="K6" s="7">
        <f>($P$1*'Single Exponen'!K6)-('Konstanta a triple'!$P$1*'Double Exponen'!K6)+'triple exponen'!K6</f>
        <v>39951.694706130467</v>
      </c>
      <c r="L6" s="7">
        <f>($P$1*'Single Exponen'!L6)-('Konstanta a triple'!$P$1*'Double Exponen'!L6)+'triple exponen'!L6</f>
        <v>44971.083882823506</v>
      </c>
      <c r="M6" s="7">
        <f>($P$1*'Single Exponen'!M6)-('Konstanta a triple'!$P$1*'Double Exponen'!M6)+'triple exponen'!M6</f>
        <v>46881.520381055881</v>
      </c>
    </row>
    <row r="7" spans="1:16" x14ac:dyDescent="0.3">
      <c r="A7" s="6">
        <f>A1+0.1</f>
        <v>0.2</v>
      </c>
      <c r="B7" s="1" t="str">
        <f t="shared" ref="B7:M7" si="0">B1</f>
        <v>T1</v>
      </c>
      <c r="C7" s="1" t="str">
        <f t="shared" si="0"/>
        <v>T2</v>
      </c>
      <c r="D7" s="1" t="str">
        <f t="shared" si="0"/>
        <v>T3</v>
      </c>
      <c r="E7" s="1" t="str">
        <f t="shared" si="0"/>
        <v>T4</v>
      </c>
      <c r="F7" s="1" t="str">
        <f t="shared" si="0"/>
        <v>T5</v>
      </c>
      <c r="G7" s="1" t="str">
        <f t="shared" si="0"/>
        <v>T6</v>
      </c>
      <c r="H7" s="1" t="str">
        <f t="shared" si="0"/>
        <v>T7</v>
      </c>
      <c r="I7" s="1" t="str">
        <f t="shared" si="0"/>
        <v>T8</v>
      </c>
      <c r="J7" s="1" t="str">
        <f t="shared" si="0"/>
        <v>T9</v>
      </c>
      <c r="K7" s="1" t="str">
        <f t="shared" si="0"/>
        <v>T10</v>
      </c>
      <c r="L7" s="1" t="str">
        <f t="shared" si="0"/>
        <v>T11</v>
      </c>
      <c r="M7" s="1" t="str">
        <f t="shared" si="0"/>
        <v>T12</v>
      </c>
    </row>
    <row r="8" spans="1:16" x14ac:dyDescent="0.3">
      <c r="A8" s="1" t="str">
        <f>A2</f>
        <v>Oil A 20 LT</v>
      </c>
      <c r="B8" s="6">
        <f>($P$1*'Single Exponen'!B8)-('Konstanta a triple'!$P$1*'Double Exponen'!B8)+'triple exponen'!B8</f>
        <v>12588.09</v>
      </c>
      <c r="C8" s="6">
        <f>($P$1*'Single Exponen'!C8)-('Konstanta a triple'!$P$1*'Double Exponen'!C8)+'triple exponen'!C8</f>
        <v>8782.500079999998</v>
      </c>
      <c r="D8" s="6">
        <f>($P$1*'Single Exponen'!D8)-('Konstanta a triple'!$P$1*'Double Exponen'!D8)+'triple exponen'!D8</f>
        <v>14310.061952000004</v>
      </c>
      <c r="E8" s="6">
        <f>($P$1*'Single Exponen'!E8)-('Konstanta a triple'!$P$1*'Double Exponen'!E8)+'triple exponen'!E8</f>
        <v>13017.062211200002</v>
      </c>
      <c r="F8" s="6">
        <f>($P$1*'Single Exponen'!F8)-('Konstanta a triple'!$P$1*'Double Exponen'!F8)+'triple exponen'!F8</f>
        <v>11183.636960000003</v>
      </c>
      <c r="G8" s="6">
        <f>($P$1*'Single Exponen'!G8)-('Konstanta a triple'!$P$1*'Double Exponen'!G8)+'triple exponen'!G8</f>
        <v>9573.2988979199999</v>
      </c>
      <c r="H8" s="6">
        <f>($P$1*'Single Exponen'!H8)-('Konstanta a triple'!$P$1*'Double Exponen'!H8)+'triple exponen'!H8</f>
        <v>13502.167843942396</v>
      </c>
      <c r="I8" s="6">
        <f>($P$1*'Single Exponen'!I8)-('Konstanta a triple'!$P$1*'Double Exponen'!I8)+'triple exponen'!I8</f>
        <v>12502.167544975358</v>
      </c>
      <c r="J8" s="6">
        <f>($P$1*'Single Exponen'!J8)-('Konstanta a triple'!$P$1*'Double Exponen'!J8)+'triple exponen'!J8</f>
        <v>11767.979363306496</v>
      </c>
      <c r="K8" s="6">
        <f>($P$1*'Single Exponen'!K8)-('Konstanta a triple'!$P$1*'Double Exponen'!K8)+'triple exponen'!K8</f>
        <v>10086.97856168141</v>
      </c>
      <c r="L8" s="6">
        <f>($P$1*'Single Exponen'!L8)-('Konstanta a triple'!$P$1*'Double Exponen'!L8)+'triple exponen'!L8</f>
        <v>13791.022993514287</v>
      </c>
      <c r="M8" s="6">
        <f>($P$1*'Single Exponen'!M8)-('Konstanta a triple'!$P$1*'Double Exponen'!M8)+'triple exponen'!M8</f>
        <v>13112.969860018919</v>
      </c>
    </row>
    <row r="9" spans="1:16" x14ac:dyDescent="0.3">
      <c r="A9" s="1" t="str">
        <f>A3</f>
        <v>Oil A 200 LT</v>
      </c>
      <c r="B9" s="6">
        <f>($P$1*'Single Exponen'!B9)-('Konstanta a triple'!$P$1*'Double Exponen'!B9)+'triple exponen'!B9</f>
        <v>459915.78</v>
      </c>
      <c r="C9" s="6">
        <f>($P$1*'Single Exponen'!C9)-('Konstanta a triple'!$P$1*'Double Exponen'!C9)+'triple exponen'!C9</f>
        <v>429320.61024000001</v>
      </c>
      <c r="D9" s="6">
        <f>($P$1*'Single Exponen'!D9)-('Konstanta a triple'!$P$1*'Double Exponen'!D9)+'triple exponen'!D9</f>
        <v>406165.59145600011</v>
      </c>
      <c r="E9" s="6">
        <f>($P$1*'Single Exponen'!E9)-('Konstanta a triple'!$P$1*'Double Exponen'!E9)+'triple exponen'!E9</f>
        <v>449090.22111360001</v>
      </c>
      <c r="F9" s="6">
        <f>($P$1*'Single Exponen'!F9)-('Konstanta a triple'!$P$1*'Double Exponen'!F9)+'triple exponen'!F9</f>
        <v>328284.20848000026</v>
      </c>
      <c r="G9" s="6">
        <f>($P$1*'Single Exponen'!G9)-('Konstanta a triple'!$P$1*'Double Exponen'!G9)+'triple exponen'!G9</f>
        <v>338716.71431936015</v>
      </c>
      <c r="H9" s="6">
        <f>($P$1*'Single Exponen'!H9)-('Konstanta a triple'!$P$1*'Double Exponen'!H9)+'triple exponen'!H9</f>
        <v>389113.94665502704</v>
      </c>
      <c r="I9" s="6">
        <f>($P$1*'Single Exponen'!I9)-('Konstanta a triple'!$P$1*'Double Exponen'!I9)+'triple exponen'!I9</f>
        <v>446217.78658065392</v>
      </c>
      <c r="J9" s="6">
        <f>($P$1*'Single Exponen'!J9)-('Konstanta a triple'!$P$1*'Double Exponen'!J9)+'triple exponen'!J9</f>
        <v>483401.95562742971</v>
      </c>
      <c r="K9" s="6">
        <f>($P$1*'Single Exponen'!K9)-('Konstanta a triple'!$P$1*'Double Exponen'!K9)+'triple exponen'!K9</f>
        <v>512381.44987834973</v>
      </c>
      <c r="L9" s="6">
        <f>($P$1*'Single Exponen'!L9)-('Konstanta a triple'!$P$1*'Double Exponen'!L9)+'triple exponen'!L9</f>
        <v>507466.95547266892</v>
      </c>
      <c r="M9" s="6">
        <f>($P$1*'Single Exponen'!M9)-('Konstanta a triple'!$P$1*'Double Exponen'!M9)+'triple exponen'!M9</f>
        <v>477316.71416921815</v>
      </c>
    </row>
    <row r="10" spans="1:16" x14ac:dyDescent="0.3">
      <c r="A10" s="1" t="str">
        <f>A4</f>
        <v>Oil A 1000 LT</v>
      </c>
      <c r="B10" s="6">
        <f>($P$1*'Single Exponen'!B10)-('Konstanta a triple'!$P$1*'Double Exponen'!B10)+'triple exponen'!B10</f>
        <v>23458.3</v>
      </c>
      <c r="C10" s="6">
        <f>($P$1*'Single Exponen'!C10)-('Konstanta a triple'!$P$1*'Double Exponen'!C10)+'triple exponen'!C10</f>
        <v>32612.35040000001</v>
      </c>
      <c r="D10" s="6">
        <f>($P$1*'Single Exponen'!D10)-('Konstanta a triple'!$P$1*'Double Exponen'!D10)+'triple exponen'!D10</f>
        <v>31804.126560000004</v>
      </c>
      <c r="E10" s="6">
        <f>($P$1*'Single Exponen'!E10)-('Konstanta a triple'!$P$1*'Double Exponen'!E10)+'triple exponen'!E10</f>
        <v>36310.300576000009</v>
      </c>
      <c r="F10" s="6">
        <f>($P$1*'Single Exponen'!F10)-('Konstanta a triple'!$P$1*'Double Exponen'!F10)+'triple exponen'!F10</f>
        <v>31441.870591999999</v>
      </c>
      <c r="G10" s="6">
        <f>($P$1*'Single Exponen'!G10)-('Konstanta a triple'!$P$1*'Double Exponen'!G10)+'triple exponen'!G10</f>
        <v>44454.579513599994</v>
      </c>
      <c r="H10" s="6">
        <f>($P$1*'Single Exponen'!H10)-('Konstanta a triple'!$P$1*'Double Exponen'!H10)+'triple exponen'!H10</f>
        <v>65504.435590911991</v>
      </c>
      <c r="I10" s="6">
        <f>($P$1*'Single Exponen'!I10)-('Konstanta a triple'!$P$1*'Double Exponen'!I10)+'triple exponen'!I10</f>
        <v>63956.832895180785</v>
      </c>
      <c r="J10" s="6">
        <f>($P$1*'Single Exponen'!J10)-('Konstanta a triple'!$P$1*'Double Exponen'!J10)+'triple exponen'!J10</f>
        <v>41438.631324846079</v>
      </c>
      <c r="K10" s="6">
        <f>($P$1*'Single Exponen'!K10)-('Konstanta a triple'!$P$1*'Double Exponen'!K10)+'triple exponen'!K10</f>
        <v>33034.687843430409</v>
      </c>
      <c r="L10" s="6">
        <f>($P$1*'Single Exponen'!L10)-('Konstanta a triple'!$P$1*'Double Exponen'!L10)+'triple exponen'!L10</f>
        <v>28978.757922861056</v>
      </c>
      <c r="M10" s="6">
        <f>($P$1*'Single Exponen'!M10)-('Konstanta a triple'!$P$1*'Double Exponen'!M10)+'triple exponen'!M10</f>
        <v>29950.116793801382</v>
      </c>
    </row>
    <row r="11" spans="1:16" x14ac:dyDescent="0.3">
      <c r="A11" s="1" t="str">
        <f>A5</f>
        <v>Oil B 20 LT</v>
      </c>
      <c r="B11" s="6">
        <f>($P$1*'Single Exponen'!B11)-('Konstanta a triple'!$P$1*'Double Exponen'!B11)+'triple exponen'!B11</f>
        <v>4698.6499999999996</v>
      </c>
      <c r="C11" s="6">
        <f>($P$1*'Single Exponen'!C11)-('Konstanta a triple'!$P$1*'Double Exponen'!C11)+'triple exponen'!C11</f>
        <v>6624.4688000000033</v>
      </c>
      <c r="D11" s="6">
        <f>($P$1*'Single Exponen'!D11)-('Konstanta a triple'!$P$1*'Double Exponen'!D11)+'triple exponen'!D11</f>
        <v>7516.8791199999996</v>
      </c>
      <c r="E11" s="6">
        <f>($P$1*'Single Exponen'!E11)-('Konstanta a triple'!$P$1*'Double Exponen'!E11)+'triple exponen'!E11</f>
        <v>7337.291072</v>
      </c>
      <c r="F11" s="6">
        <f>($P$1*'Single Exponen'!F11)-('Konstanta a triple'!$P$1*'Double Exponen'!F11)+'triple exponen'!F11</f>
        <v>26283.560448000004</v>
      </c>
      <c r="G11" s="6">
        <f>($P$1*'Single Exponen'!G11)-('Konstanta a triple'!$P$1*'Double Exponen'!G11)+'triple exponen'!G11</f>
        <v>19259.782726400001</v>
      </c>
      <c r="H11" s="6">
        <f>($P$1*'Single Exponen'!H11)-('Konstanta a triple'!$P$1*'Double Exponen'!H11)+'triple exponen'!H11</f>
        <v>15275.167112063997</v>
      </c>
      <c r="I11" s="6">
        <f>($P$1*'Single Exponen'!I11)-('Konstanta a triple'!$P$1*'Double Exponen'!I11)+'triple exponen'!I11</f>
        <v>16741.251423641603</v>
      </c>
      <c r="J11" s="6">
        <f>($P$1*'Single Exponen'!J11)-('Konstanta a triple'!$P$1*'Double Exponen'!J11)+'triple exponen'!J11</f>
        <v>17583.211957493761</v>
      </c>
      <c r="K11" s="6">
        <f>($P$1*'Single Exponen'!K11)-('Konstanta a triple'!$P$1*'Double Exponen'!K11)+'triple exponen'!K11</f>
        <v>26744.393125969927</v>
      </c>
      <c r="L11" s="6">
        <f>($P$1*'Single Exponen'!L11)-('Konstanta a triple'!$P$1*'Double Exponen'!L11)+'triple exponen'!L11</f>
        <v>18427.943672844296</v>
      </c>
      <c r="M11" s="6">
        <f>($P$1*'Single Exponen'!M11)-('Konstanta a triple'!$P$1*'Double Exponen'!M11)+'triple exponen'!M11</f>
        <v>13831.093255200849</v>
      </c>
    </row>
    <row r="12" spans="1:16" x14ac:dyDescent="0.3">
      <c r="A12" s="1" t="str">
        <f>A6</f>
        <v>Oil B 200 LT</v>
      </c>
      <c r="B12" s="6">
        <f>($P$1*'Single Exponen'!B12)-('Konstanta a triple'!$P$1*'Double Exponen'!B12)+'triple exponen'!B12</f>
        <v>1033.08</v>
      </c>
      <c r="C12" s="6">
        <f>($P$1*'Single Exponen'!C12)-('Konstanta a triple'!$P$1*'Double Exponen'!C12)+'triple exponen'!C12</f>
        <v>12962.171679999999</v>
      </c>
      <c r="D12" s="6">
        <f>($P$1*'Single Exponen'!D12)-('Konstanta a triple'!$P$1*'Double Exponen'!D12)+'triple exponen'!D12</f>
        <v>17552.943712000004</v>
      </c>
      <c r="E12" s="6">
        <f>($P$1*'Single Exponen'!E12)-('Konstanta a triple'!$P$1*'Double Exponen'!E12)+'triple exponen'!E12</f>
        <v>19908.415123200004</v>
      </c>
      <c r="F12" s="6">
        <f>($P$1*'Single Exponen'!F12)-('Konstanta a triple'!$P$1*'Double Exponen'!F12)+'triple exponen'!F12</f>
        <v>25014.1151488</v>
      </c>
      <c r="G12" s="6">
        <f>($P$1*'Single Exponen'!G12)-('Konstanta a triple'!$P$1*'Double Exponen'!G12)+'triple exponen'!G12</f>
        <v>23362.23522111999</v>
      </c>
      <c r="H12" s="6">
        <f>($P$1*'Single Exponen'!H12)-('Konstanta a triple'!$P$1*'Double Exponen'!H12)+'triple exponen'!H12</f>
        <v>39492.60494807041</v>
      </c>
      <c r="I12" s="6">
        <f>($P$1*'Single Exponen'!I12)-('Konstanta a triple'!$P$1*'Double Exponen'!I12)+'triple exponen'!I12</f>
        <v>38943.242087004161</v>
      </c>
      <c r="J12" s="6">
        <f>($P$1*'Single Exponen'!J12)-('Konstanta a triple'!$P$1*'Double Exponen'!J12)+'triple exponen'!J12</f>
        <v>36383.237861728267</v>
      </c>
      <c r="K12" s="6">
        <f>($P$1*'Single Exponen'!K12)-('Konstanta a triple'!$P$1*'Double Exponen'!K12)+'triple exponen'!K12</f>
        <v>45329.183314511894</v>
      </c>
      <c r="L12" s="6">
        <f>($P$1*'Single Exponen'!L12)-('Konstanta a triple'!$P$1*'Double Exponen'!L12)+'triple exponen'!L12</f>
        <v>50167.443208856384</v>
      </c>
      <c r="M12" s="6">
        <f>($P$1*'Single Exponen'!M12)-('Konstanta a triple'!$P$1*'Double Exponen'!M12)+'triple exponen'!M12</f>
        <v>49216.546002597359</v>
      </c>
    </row>
    <row r="13" spans="1:16" x14ac:dyDescent="0.3">
      <c r="A13" s="6">
        <f>A7+0.1</f>
        <v>0.30000000000000004</v>
      </c>
      <c r="B13" s="6" t="str">
        <f t="shared" ref="B13:M13" si="1">B7</f>
        <v>T1</v>
      </c>
      <c r="C13" s="6" t="str">
        <f t="shared" si="1"/>
        <v>T2</v>
      </c>
      <c r="D13" s="6" t="str">
        <f t="shared" si="1"/>
        <v>T3</v>
      </c>
      <c r="E13" s="6" t="str">
        <f t="shared" si="1"/>
        <v>T4</v>
      </c>
      <c r="F13" s="6" t="str">
        <f t="shared" si="1"/>
        <v>T5</v>
      </c>
      <c r="G13" s="6" t="str">
        <f t="shared" si="1"/>
        <v>T6</v>
      </c>
      <c r="H13" s="6" t="str">
        <f t="shared" si="1"/>
        <v>T7</v>
      </c>
      <c r="I13" s="6" t="str">
        <f t="shared" si="1"/>
        <v>T8</v>
      </c>
      <c r="J13" s="6" t="str">
        <f t="shared" si="1"/>
        <v>T9</v>
      </c>
      <c r="K13" s="6" t="str">
        <f t="shared" si="1"/>
        <v>T10</v>
      </c>
      <c r="L13" s="6" t="str">
        <f t="shared" si="1"/>
        <v>T11</v>
      </c>
      <c r="M13" s="6" t="str">
        <f t="shared" si="1"/>
        <v>T12</v>
      </c>
    </row>
    <row r="14" spans="1:16" x14ac:dyDescent="0.3">
      <c r="A14" s="6" t="str">
        <f>A8</f>
        <v>Oil A 20 LT</v>
      </c>
      <c r="B14" s="6">
        <f>($P$1*'Single Exponen'!B14)-('Konstanta a triple'!$P$1*'Double Exponen'!B14)+'triple exponen'!B14</f>
        <v>12588.09</v>
      </c>
      <c r="C14" s="6">
        <f>($P$1*'Single Exponen'!C14)-('Konstanta a triple'!$P$1*'Double Exponen'!C14)+'triple exponen'!C14</f>
        <v>7464.5806200000043</v>
      </c>
      <c r="D14" s="6">
        <f>($P$1*'Single Exponen'!D14)-('Konstanta a triple'!$P$1*'Double Exponen'!D14)+'triple exponen'!D14</f>
        <v>15724.344192000008</v>
      </c>
      <c r="E14" s="6">
        <f>($P$1*'Single Exponen'!E14)-('Konstanta a triple'!$P$1*'Double Exponen'!E14)+'triple exponen'!E14</f>
        <v>13252.846561800008</v>
      </c>
      <c r="F14" s="6">
        <f>($P$1*'Single Exponen'!F14)-('Konstanta a triple'!$P$1*'Double Exponen'!F14)+'triple exponen'!F14</f>
        <v>10635.648160200013</v>
      </c>
      <c r="G14" s="6">
        <f>($P$1*'Single Exponen'!G14)-('Konstanta a triple'!$P$1*'Double Exponen'!G14)+'triple exponen'!G14</f>
        <v>8778.4841784300152</v>
      </c>
      <c r="H14" s="6">
        <f>($P$1*'Single Exponen'!H14)-('Konstanta a triple'!$P$1*'Double Exponen'!H14)+'triple exponen'!H14</f>
        <v>14591.17364990641</v>
      </c>
      <c r="I14" s="6">
        <f>($P$1*'Single Exponen'!I14)-('Konstanta a triple'!$P$1*'Double Exponen'!I14)+'triple exponen'!I14</f>
        <v>12688.975361459947</v>
      </c>
      <c r="J14" s="6">
        <f>($P$1*'Single Exponen'!J14)-('Konstanta a triple'!$P$1*'Double Exponen'!J14)+'triple exponen'!J14</f>
        <v>11589.466536904958</v>
      </c>
      <c r="K14" s="6">
        <f>($P$1*'Single Exponen'!K14)-('Konstanta a triple'!$P$1*'Double Exponen'!K14)+'triple exponen'!K14</f>
        <v>9420.8197180721982</v>
      </c>
      <c r="L14" s="6">
        <f>($P$1*'Single Exponen'!L14)-('Konstanta a triple'!$P$1*'Double Exponen'!L14)+'triple exponen'!L14</f>
        <v>14823.142707682087</v>
      </c>
      <c r="M14" s="6">
        <f>($P$1*'Single Exponen'!M14)-('Konstanta a triple'!$P$1*'Double Exponen'!M14)+'triple exponen'!M14</f>
        <v>13345.622442724643</v>
      </c>
    </row>
    <row r="15" spans="1:16" x14ac:dyDescent="0.3">
      <c r="A15" s="6" t="str">
        <f>A9</f>
        <v>Oil A 200 LT</v>
      </c>
      <c r="B15" s="6">
        <f>($P$1*'Single Exponen'!B15)-('Konstanta a triple'!$P$1*'Double Exponen'!B15)+'triple exponen'!B15</f>
        <v>459915.78</v>
      </c>
      <c r="C15" s="6">
        <f>($P$1*'Single Exponen'!C15)-('Konstanta a triple'!$P$1*'Double Exponen'!C15)+'triple exponen'!C15</f>
        <v>418725.15186000016</v>
      </c>
      <c r="D15" s="6">
        <f>($P$1*'Single Exponen'!D15)-('Konstanta a triple'!$P$1*'Double Exponen'!D15)+'triple exponen'!D15</f>
        <v>394127.16972600011</v>
      </c>
      <c r="E15" s="6">
        <f>($P$1*'Single Exponen'!E15)-('Konstanta a triple'!$P$1*'Double Exponen'!E15)+'triple exponen'!E15</f>
        <v>460570.59701040026</v>
      </c>
      <c r="F15" s="6">
        <f>($P$1*'Single Exponen'!F15)-('Konstanta a triple'!$P$1*'Double Exponen'!F15)+'triple exponen'!F15</f>
        <v>293394.42445260007</v>
      </c>
      <c r="G15" s="6">
        <f>($P$1*'Single Exponen'!G15)-('Konstanta a triple'!$P$1*'Double Exponen'!G15)+'triple exponen'!G15</f>
        <v>330547.18348119018</v>
      </c>
      <c r="H15" s="6">
        <f>($P$1*'Single Exponen'!H15)-('Konstanta a triple'!$P$1*'Double Exponen'!H15)+'triple exponen'!H15</f>
        <v>408887.48587974464</v>
      </c>
      <c r="I15" s="6">
        <f>($P$1*'Single Exponen'!I15)-('Konstanta a triple'!$P$1*'Double Exponen'!I15)+'triple exponen'!I15</f>
        <v>480118.43075735588</v>
      </c>
      <c r="J15" s="6">
        <f>($P$1*'Single Exponen'!J15)-('Konstanta a triple'!$P$1*'Double Exponen'!J15)+'triple exponen'!J15</f>
        <v>513905.72250127076</v>
      </c>
      <c r="K15" s="6">
        <f>($P$1*'Single Exponen'!K15)-('Konstanta a triple'!$P$1*'Double Exponen'!K15)+'triple exponen'!K15</f>
        <v>535201.99997610808</v>
      </c>
      <c r="L15" s="6">
        <f>($P$1*'Single Exponen'!L15)-('Konstanta a triple'!$P$1*'Double Exponen'!L15)+'triple exponen'!L15</f>
        <v>512249.39988273219</v>
      </c>
      <c r="M15" s="6">
        <f>($P$1*'Single Exponen'!M15)-('Konstanta a triple'!$P$1*'Double Exponen'!M15)+'triple exponen'!M15</f>
        <v>463793.94378679409</v>
      </c>
    </row>
    <row r="16" spans="1:16" x14ac:dyDescent="0.3">
      <c r="A16" s="6" t="str">
        <f>A10</f>
        <v>Oil A 1000 LT</v>
      </c>
      <c r="B16" s="6">
        <f>($P$1*'Single Exponen'!B16)-('Konstanta a triple'!$P$1*'Double Exponen'!B16)+'triple exponen'!B16</f>
        <v>23458.3</v>
      </c>
      <c r="C16" s="6">
        <f>($P$1*'Single Exponen'!C16)-('Konstanta a triple'!$P$1*'Double Exponen'!C16)+'triple exponen'!C16</f>
        <v>35782.503099999994</v>
      </c>
      <c r="D16" s="6">
        <f>($P$1*'Single Exponen'!D16)-('Konstanta a triple'!$P$1*'Double Exponen'!D16)+'triple exponen'!D16</f>
        <v>32726.882410000027</v>
      </c>
      <c r="E16" s="6">
        <f>($P$1*'Single Exponen'!E16)-('Konstanta a triple'!$P$1*'Double Exponen'!E16)+'triple exponen'!E16</f>
        <v>37867.22940400002</v>
      </c>
      <c r="F16" s="6">
        <f>($P$1*'Single Exponen'!F16)-('Konstanta a triple'!$P$1*'Double Exponen'!F16)+'triple exponen'!F16</f>
        <v>29870.062369000021</v>
      </c>
      <c r="G16" s="6">
        <f>($P$1*'Single Exponen'!G16)-('Konstanta a triple'!$P$1*'Double Exponen'!G16)+'triple exponen'!G16</f>
        <v>47688.567017650028</v>
      </c>
      <c r="H16" s="6">
        <f>($P$1*'Single Exponen'!H16)-('Konstanta a triple'!$P$1*'Double Exponen'!H16)+'triple exponen'!H16</f>
        <v>73484.136340207042</v>
      </c>
      <c r="I16" s="6">
        <f>($P$1*'Single Exponen'!I16)-('Konstanta a triple'!$P$1*'Double Exponen'!I16)+'triple exponen'!I16</f>
        <v>65523.523791056228</v>
      </c>
      <c r="J16" s="6">
        <f>($P$1*'Single Exponen'!J16)-('Konstanta a triple'!$P$1*'Double Exponen'!J16)+'triple exponen'!J16</f>
        <v>32372.582028167679</v>
      </c>
      <c r="K16" s="6">
        <f>($P$1*'Single Exponen'!K16)-('Konstanta a triple'!$P$1*'Double Exponen'!K16)+'triple exponen'!K16</f>
        <v>24550.337750990526</v>
      </c>
      <c r="L16" s="6">
        <f>($P$1*'Single Exponen'!L16)-('Konstanta a triple'!$P$1*'Double Exponen'!L16)+'triple exponen'!L16</f>
        <v>23123.376056005887</v>
      </c>
      <c r="M16" s="6">
        <f>($P$1*'Single Exponen'!M16)-('Konstanta a triple'!$P$1*'Double Exponen'!M16)+'triple exponen'!M16</f>
        <v>27726.225159317801</v>
      </c>
    </row>
    <row r="17" spans="1:13" x14ac:dyDescent="0.3">
      <c r="A17" s="6" t="str">
        <f>A11</f>
        <v>Oil B 20 LT</v>
      </c>
      <c r="B17" s="6">
        <f>($P$1*'Single Exponen'!B17)-('Konstanta a triple'!$P$1*'Double Exponen'!B17)+'triple exponen'!B17</f>
        <v>4698.6499999999996</v>
      </c>
      <c r="C17" s="6">
        <f>($P$1*'Single Exponen'!C17)-('Konstanta a triple'!$P$1*'Double Exponen'!C17)+'triple exponen'!C17</f>
        <v>7291.4019500000022</v>
      </c>
      <c r="D17" s="6">
        <f>($P$1*'Single Exponen'!D17)-('Konstanta a triple'!$P$1*'Double Exponen'!D17)+'triple exponen'!D17</f>
        <v>8078.9438449999998</v>
      </c>
      <c r="E17" s="6">
        <f>($P$1*'Single Exponen'!E17)-('Konstanta a triple'!$P$1*'Double Exponen'!E17)+'triple exponen'!E17</f>
        <v>7413.9211280000009</v>
      </c>
      <c r="F17" s="6">
        <f>($P$1*'Single Exponen'!F17)-('Konstanta a triple'!$P$1*'Double Exponen'!F17)+'triple exponen'!F17</f>
        <v>32732.655675500013</v>
      </c>
      <c r="G17" s="6">
        <f>($P$1*'Single Exponen'!G17)-('Konstanta a triple'!$P$1*'Double Exponen'!G17)+'triple exponen'!G17</f>
        <v>19116.335099225009</v>
      </c>
      <c r="H17" s="6">
        <f>($P$1*'Single Exponen'!H17)-('Konstanta a triple'!$P$1*'Double Exponen'!H17)+'triple exponen'!H17</f>
        <v>12955.347462291507</v>
      </c>
      <c r="I17" s="6">
        <f>($P$1*'Single Exponen'!I17)-('Konstanta a triple'!$P$1*'Double Exponen'!I17)+'triple exponen'!I17</f>
        <v>15450.570381647909</v>
      </c>
      <c r="J17" s="6">
        <f>($P$1*'Single Exponen'!J17)-('Konstanta a triple'!$P$1*'Double Exponen'!J17)+'triple exponen'!J17</f>
        <v>16676.780080926263</v>
      </c>
      <c r="K17" s="6">
        <f>($P$1*'Single Exponen'!K17)-('Konstanta a triple'!$P$1*'Double Exponen'!K17)+'triple exponen'!K17</f>
        <v>28973.806288488726</v>
      </c>
      <c r="L17" s="6">
        <f>($P$1*'Single Exponen'!L17)-('Konstanta a triple'!$P$1*'Double Exponen'!L17)+'triple exponen'!L17</f>
        <v>15868.336727769934</v>
      </c>
      <c r="M17" s="6">
        <f>($P$1*'Single Exponen'!M17)-('Konstanta a triple'!$P$1*'Double Exponen'!M17)+'triple exponen'!M17</f>
        <v>10472.713031996156</v>
      </c>
    </row>
    <row r="18" spans="1:13" x14ac:dyDescent="0.3">
      <c r="A18" s="6" t="str">
        <f>A12</f>
        <v>Oil B 200 LT</v>
      </c>
      <c r="B18" s="6">
        <f>($P$1*'Single Exponen'!B18)-('Konstanta a triple'!$P$1*'Double Exponen'!B18)+'triple exponen'!B18</f>
        <v>1033.08</v>
      </c>
      <c r="C18" s="6">
        <f>($P$1*'Single Exponen'!C18)-('Konstanta a triple'!$P$1*'Double Exponen'!C18)+'triple exponen'!C18</f>
        <v>17093.353020000002</v>
      </c>
      <c r="D18" s="6">
        <f>($P$1*'Single Exponen'!D18)-('Konstanta a triple'!$P$1*'Double Exponen'!D18)+'triple exponen'!D18</f>
        <v>20710.016862</v>
      </c>
      <c r="E18" s="6">
        <f>($P$1*'Single Exponen'!E18)-('Konstanta a triple'!$P$1*'Double Exponen'!E18)+'triple exponen'!E18</f>
        <v>21460.942330799997</v>
      </c>
      <c r="F18" s="6">
        <f>($P$1*'Single Exponen'!F18)-('Konstanta a triple'!$P$1*'Double Exponen'!F18)+'triple exponen'!F18</f>
        <v>26532.292313400008</v>
      </c>
      <c r="G18" s="6">
        <f>($P$1*'Single Exponen'!G18)-('Konstanta a triple'!$P$1*'Double Exponen'!G18)+'triple exponen'!G18</f>
        <v>22307.819245530009</v>
      </c>
      <c r="H18" s="6">
        <f>($P$1*'Single Exponen'!H18)-('Konstanta a triple'!$P$1*'Double Exponen'!H18)+'triple exponen'!H18</f>
        <v>43394.434624379421</v>
      </c>
      <c r="I18" s="6">
        <f>($P$1*'Single Exponen'!I18)-('Konstanta a triple'!$P$1*'Double Exponen'!I18)+'triple exponen'!I18</f>
        <v>38999.667353763856</v>
      </c>
      <c r="J18" s="6">
        <f>($P$1*'Single Exponen'!J18)-('Konstanta a triple'!$P$1*'Double Exponen'!J18)+'triple exponen'!J18</f>
        <v>33788.166526283145</v>
      </c>
      <c r="K18" s="6">
        <f>($P$1*'Single Exponen'!K18)-('Konstanta a triple'!$P$1*'Double Exponen'!K18)+'triple exponen'!K18</f>
        <v>45620.635451323891</v>
      </c>
      <c r="L18" s="6">
        <f>($P$1*'Single Exponen'!L18)-('Konstanta a triple'!$P$1*'Double Exponen'!L18)+'triple exponen'!L18</f>
        <v>50333.825056484959</v>
      </c>
      <c r="M18" s="6">
        <f>($P$1*'Single Exponen'!M18)-('Konstanta a triple'!$P$1*'Double Exponen'!M18)+'triple exponen'!M18</f>
        <v>47226.635743687395</v>
      </c>
    </row>
    <row r="19" spans="1:13" x14ac:dyDescent="0.3">
      <c r="A19" s="6">
        <f>A13+0.1</f>
        <v>0.4</v>
      </c>
      <c r="B19" s="6" t="str">
        <f t="shared" ref="B19:M19" si="2">B13</f>
        <v>T1</v>
      </c>
      <c r="C19" s="6" t="str">
        <f t="shared" si="2"/>
        <v>T2</v>
      </c>
      <c r="D19" s="6" t="str">
        <f t="shared" si="2"/>
        <v>T3</v>
      </c>
      <c r="E19" s="6" t="str">
        <f t="shared" si="2"/>
        <v>T4</v>
      </c>
      <c r="F19" s="6" t="str">
        <f t="shared" si="2"/>
        <v>T5</v>
      </c>
      <c r="G19" s="6" t="str">
        <f t="shared" si="2"/>
        <v>T6</v>
      </c>
      <c r="H19" s="6" t="str">
        <f t="shared" si="2"/>
        <v>T7</v>
      </c>
      <c r="I19" s="6" t="str">
        <f t="shared" si="2"/>
        <v>T8</v>
      </c>
      <c r="J19" s="6" t="str">
        <f t="shared" si="2"/>
        <v>T9</v>
      </c>
      <c r="K19" s="6" t="str">
        <f t="shared" si="2"/>
        <v>T10</v>
      </c>
      <c r="L19" s="6" t="str">
        <f t="shared" si="2"/>
        <v>T11</v>
      </c>
      <c r="M19" s="6" t="str">
        <f t="shared" si="2"/>
        <v>T12</v>
      </c>
    </row>
    <row r="20" spans="1:13" x14ac:dyDescent="0.3">
      <c r="A20" s="6" t="str">
        <f>A14</f>
        <v>Oil A 20 LT</v>
      </c>
      <c r="B20" s="6">
        <f>($P$1*'Single Exponen'!B20)-('Konstanta a triple'!$P$1*'Double Exponen'!B20)+'triple exponen'!B20</f>
        <v>12588.09</v>
      </c>
      <c r="C20" s="6">
        <f>($P$1*'Single Exponen'!C20)-('Konstanta a triple'!$P$1*'Double Exponen'!C20)+'triple exponen'!C20</f>
        <v>6474.1914399999951</v>
      </c>
      <c r="D20" s="6">
        <f>($P$1*'Single Exponen'!D20)-('Konstanta a triple'!$P$1*'Double Exponen'!D20)+'triple exponen'!D20</f>
        <v>17181.956272000003</v>
      </c>
      <c r="E20" s="6">
        <f>($P$1*'Single Exponen'!E20)-('Konstanta a triple'!$P$1*'Double Exponen'!E20)+'triple exponen'!E20</f>
        <v>13204.986774400006</v>
      </c>
      <c r="F20" s="6">
        <f>($P$1*'Single Exponen'!F20)-('Konstanta a triple'!$P$1*'Double Exponen'!F20)+'triple exponen'!F20</f>
        <v>10036.731651200003</v>
      </c>
      <c r="G20" s="6">
        <f>($P$1*'Single Exponen'!G20)-('Konstanta a triple'!$P$1*'Double Exponen'!G20)+'triple exponen'!G20</f>
        <v>8250.7747705600068</v>
      </c>
      <c r="H20" s="6">
        <f>($P$1*'Single Exponen'!H20)-('Konstanta a triple'!$P$1*'Double Exponen'!H20)+'triple exponen'!H20</f>
        <v>15683.865546982401</v>
      </c>
      <c r="I20" s="6">
        <f>($P$1*'Single Exponen'!I20)-('Konstanta a triple'!$P$1*'Double Exponen'!I20)+'triple exponen'!I20</f>
        <v>12641.419109022725</v>
      </c>
      <c r="J20" s="6">
        <f>($P$1*'Single Exponen'!J20)-('Konstanta a triple'!$P$1*'Double Exponen'!J20)+'triple exponen'!J20</f>
        <v>11302.73559594086</v>
      </c>
      <c r="K20" s="6">
        <f>($P$1*'Single Exponen'!K20)-('Konstanta a triple'!$P$1*'Double Exponen'!K20)+'triple exponen'!K20</f>
        <v>8897.017113097223</v>
      </c>
      <c r="L20" s="6">
        <f>($P$1*'Single Exponen'!L20)-('Konstanta a triple'!$P$1*'Double Exponen'!L20)+'triple exponen'!L20</f>
        <v>15787.965607507769</v>
      </c>
      <c r="M20" s="6">
        <f>($P$1*'Single Exponen'!M20)-('Konstanta a triple'!$P$1*'Double Exponen'!M20)+'triple exponen'!M20</f>
        <v>13307.572740092211</v>
      </c>
    </row>
    <row r="21" spans="1:13" x14ac:dyDescent="0.3">
      <c r="A21" s="6" t="str">
        <f>A15</f>
        <v>Oil A 200 LT</v>
      </c>
      <c r="B21" s="6">
        <f>($P$1*'Single Exponen'!B21)-('Konstanta a triple'!$P$1*'Double Exponen'!B21)+'triple exponen'!B21</f>
        <v>459915.78</v>
      </c>
      <c r="C21" s="6">
        <f>($P$1*'Single Exponen'!C21)-('Konstanta a triple'!$P$1*'Double Exponen'!C21)+'triple exponen'!C21</f>
        <v>410762.88431999995</v>
      </c>
      <c r="D21" s="6">
        <f>($P$1*'Single Exponen'!D21)-('Konstanta a triple'!$P$1*'Double Exponen'!D21)+'triple exponen'!D21</f>
        <v>388254.6196160001</v>
      </c>
      <c r="E21" s="6">
        <f>($P$1*'Single Exponen'!E21)-('Konstanta a triple'!$P$1*'Double Exponen'!E21)+'triple exponen'!E21</f>
        <v>474401.08648320014</v>
      </c>
      <c r="F21" s="6">
        <f>($P$1*'Single Exponen'!F21)-('Konstanta a triple'!$P$1*'Double Exponen'!F21)+'triple exponen'!F21</f>
        <v>266327.85637760011</v>
      </c>
      <c r="G21" s="6">
        <f>($P$1*'Single Exponen'!G21)-('Konstanta a triple'!$P$1*'Double Exponen'!G21)+'triple exponen'!G21</f>
        <v>334371.95215488004</v>
      </c>
      <c r="H21" s="6">
        <f>($P$1*'Single Exponen'!H21)-('Konstanta a triple'!$P$1*'Double Exponen'!H21)+'triple exponen'!H21</f>
        <v>431170.61375134747</v>
      </c>
      <c r="I21" s="6">
        <f>($P$1*'Single Exponen'!I21)-('Konstanta a triple'!$P$1*'Double Exponen'!I21)+'triple exponen'!I21</f>
        <v>503297.10588271613</v>
      </c>
      <c r="J21" s="6">
        <f>($P$1*'Single Exponen'!J21)-('Konstanta a triple'!$P$1*'Double Exponen'!J21)+'triple exponen'!J21</f>
        <v>525379.38524288835</v>
      </c>
      <c r="K21" s="6">
        <f>($P$1*'Single Exponen'!K21)-('Konstanta a triple'!$P$1*'Double Exponen'!K21)+'triple exponen'!K21</f>
        <v>537373.8854141566</v>
      </c>
      <c r="L21" s="6">
        <f>($P$1*'Single Exponen'!L21)-('Konstanta a triple'!$P$1*'Double Exponen'!L21)+'triple exponen'!L21</f>
        <v>501509.70967382868</v>
      </c>
      <c r="M21" s="6">
        <f>($P$1*'Single Exponen'!M21)-('Konstanta a triple'!$P$1*'Double Exponen'!M21)+'triple exponen'!M21</f>
        <v>445137.574938067</v>
      </c>
    </row>
    <row r="22" spans="1:13" x14ac:dyDescent="0.3">
      <c r="A22" s="6" t="str">
        <f>A16</f>
        <v>Oil A 1000 LT</v>
      </c>
      <c r="B22" s="6">
        <f>($P$1*'Single Exponen'!B22)-('Konstanta a triple'!$P$1*'Double Exponen'!B22)+'triple exponen'!B22</f>
        <v>23458.3</v>
      </c>
      <c r="C22" s="6">
        <f>($P$1*'Single Exponen'!C22)-('Konstanta a triple'!$P$1*'Double Exponen'!C22)+'triple exponen'!C22</f>
        <v>38164.807199999996</v>
      </c>
      <c r="D22" s="6">
        <f>($P$1*'Single Exponen'!D22)-('Konstanta a triple'!$P$1*'Double Exponen'!D22)+'triple exponen'!D22</f>
        <v>32470.633760000012</v>
      </c>
      <c r="E22" s="6">
        <f>($P$1*'Single Exponen'!E22)-('Konstanta a triple'!$P$1*'Double Exponen'!E22)+'triple exponen'!E22</f>
        <v>38283.013792000005</v>
      </c>
      <c r="F22" s="6">
        <f>($P$1*'Single Exponen'!F22)-('Konstanta a triple'!$P$1*'Double Exponen'!F22)+'triple exponen'!F22</f>
        <v>27850.865119999999</v>
      </c>
      <c r="G22" s="6">
        <f>($P$1*'Single Exponen'!G22)-('Konstanta a triple'!$P$1*'Double Exponen'!G22)+'triple exponen'!G22</f>
        <v>50179.866412799995</v>
      </c>
      <c r="H22" s="6">
        <f>($P$1*'Single Exponen'!H22)-('Konstanta a triple'!$P$1*'Double Exponen'!H22)+'triple exponen'!H22</f>
        <v>78557.87139251201</v>
      </c>
      <c r="I22" s="6">
        <f>($P$1*'Single Exponen'!I22)-('Konstanta a triple'!$P$1*'Double Exponen'!I22)+'triple exponen'!I22</f>
        <v>63856.430846617593</v>
      </c>
      <c r="J22" s="6">
        <f>($P$1*'Single Exponen'!J22)-('Konstanta a triple'!$P$1*'Double Exponen'!J22)+'triple exponen'!J22</f>
        <v>23674.261565163535</v>
      </c>
      <c r="K22" s="6">
        <f>($P$1*'Single Exponen'!K22)-('Konstanta a triple'!$P$1*'Double Exponen'!K22)+'triple exponen'!K22</f>
        <v>19976.064123729928</v>
      </c>
      <c r="L22" s="6">
        <f>($P$1*'Single Exponen'!L22)-('Konstanta a triple'!$P$1*'Double Exponen'!L22)+'triple exponen'!L22</f>
        <v>22210.996395206661</v>
      </c>
      <c r="M22" s="6">
        <f>($P$1*'Single Exponen'!M22)-('Konstanta a triple'!$P$1*'Double Exponen'!M22)+'triple exponen'!M22</f>
        <v>29577.270355818982</v>
      </c>
    </row>
    <row r="23" spans="1:13" x14ac:dyDescent="0.3">
      <c r="A23" s="6" t="str">
        <f>A17</f>
        <v>Oil B 20 LT</v>
      </c>
      <c r="B23" s="6">
        <f>($P$1*'Single Exponen'!B23)-('Konstanta a triple'!$P$1*'Double Exponen'!B23)+'triple exponen'!B23</f>
        <v>4698.6499999999996</v>
      </c>
      <c r="C23" s="6">
        <f>($P$1*'Single Exponen'!C23)-('Konstanta a triple'!$P$1*'Double Exponen'!C23)+'triple exponen'!C23</f>
        <v>7792.5883999999996</v>
      </c>
      <c r="D23" s="6">
        <f>($P$1*'Single Exponen'!D23)-('Konstanta a triple'!$P$1*'Double Exponen'!D23)+'triple exponen'!D23</f>
        <v>8301.5311200000033</v>
      </c>
      <c r="E23" s="6">
        <f>($P$1*'Single Exponen'!E23)-('Konstanta a triple'!$P$1*'Double Exponen'!E23)+'triple exponen'!E23</f>
        <v>7202.6135840000061</v>
      </c>
      <c r="F23" s="6">
        <f>($P$1*'Single Exponen'!F23)-('Konstanta a triple'!$P$1*'Double Exponen'!F23)+'triple exponen'!F23</f>
        <v>37422.429616000009</v>
      </c>
      <c r="G23" s="6">
        <f>($P$1*'Single Exponen'!G23)-('Konstanta a triple'!$P$1*'Double Exponen'!G23)+'triple exponen'!G23</f>
        <v>17001.191760000002</v>
      </c>
      <c r="H23" s="6">
        <f>($P$1*'Single Exponen'!H23)-('Konstanta a triple'!$P$1*'Double Exponen'!H23)+'triple exponen'!H23</f>
        <v>10248.814516864008</v>
      </c>
      <c r="I23" s="6">
        <f>($P$1*'Single Exponen'!I23)-('Konstanta a triple'!$P$1*'Double Exponen'!I23)+'triple exponen'!I23</f>
        <v>14710.182546611202</v>
      </c>
      <c r="J23" s="6">
        <f>($P$1*'Single Exponen'!J23)-('Konstanta a triple'!$P$1*'Double Exponen'!J23)+'triple exponen'!J23</f>
        <v>16519.277045847037</v>
      </c>
      <c r="K23" s="6">
        <f>($P$1*'Single Exponen'!K23)-('Konstanta a triple'!$P$1*'Double Exponen'!K23)+'triple exponen'!K23</f>
        <v>31197.554267827207</v>
      </c>
      <c r="L23" s="6">
        <f>($P$1*'Single Exponen'!L23)-('Konstanta a triple'!$P$1*'Double Exponen'!L23)+'triple exponen'!L23</f>
        <v>13558.133102642176</v>
      </c>
      <c r="M23" s="6">
        <f>($P$1*'Single Exponen'!M23)-('Konstanta a triple'!$P$1*'Double Exponen'!M23)+'triple exponen'!M23</f>
        <v>8520.4857774055054</v>
      </c>
    </row>
    <row r="24" spans="1:13" x14ac:dyDescent="0.3">
      <c r="A24" s="6" t="str">
        <f>A18</f>
        <v>Oil B 200 LT</v>
      </c>
      <c r="B24" s="6">
        <f>($P$1*'Single Exponen'!B24)-('Konstanta a triple'!$P$1*'Double Exponen'!B24)+'triple exponen'!B24</f>
        <v>1033.08</v>
      </c>
      <c r="C24" s="6">
        <f>($P$1*'Single Exponen'!C24)-('Konstanta a triple'!$P$1*'Double Exponen'!C24)+'triple exponen'!C24</f>
        <v>20197.85024</v>
      </c>
      <c r="D24" s="6">
        <f>($P$1*'Single Exponen'!D24)-('Konstanta a triple'!$P$1*'Double Exponen'!D24)+'triple exponen'!D24</f>
        <v>21844.916672000003</v>
      </c>
      <c r="E24" s="6">
        <f>($P$1*'Single Exponen'!E24)-('Konstanta a triple'!$P$1*'Double Exponen'!E24)+'triple exponen'!E24</f>
        <v>21059.2456704</v>
      </c>
      <c r="F24" s="6">
        <f>($P$1*'Single Exponen'!F24)-('Konstanta a triple'!$P$1*'Double Exponen'!F24)+'triple exponen'!F24</f>
        <v>26429.238092800002</v>
      </c>
      <c r="G24" s="6">
        <f>($P$1*'Single Exponen'!G24)-('Konstanta a triple'!$P$1*'Double Exponen'!G24)+'triple exponen'!G24</f>
        <v>20454.990204159993</v>
      </c>
      <c r="H24" s="6">
        <f>($P$1*'Single Exponen'!H24)-('Konstanta a triple'!$P$1*'Double Exponen'!H24)+'triple exponen'!H24</f>
        <v>46133.483572070385</v>
      </c>
      <c r="I24" s="6">
        <f>($P$1*'Single Exponen'!I24)-('Konstanta a triple'!$P$1*'Double Exponen'!I24)+'triple exponen'!I24</f>
        <v>37802.241077278712</v>
      </c>
      <c r="J24" s="6">
        <f>($P$1*'Single Exponen'!J24)-('Konstanta a triple'!$P$1*'Double Exponen'!J24)+'triple exponen'!J24</f>
        <v>31217.588925364216</v>
      </c>
      <c r="K24" s="6">
        <f>($P$1*'Single Exponen'!K24)-('Konstanta a triple'!$P$1*'Double Exponen'!K24)+'triple exponen'!K24</f>
        <v>46329.610713761809</v>
      </c>
      <c r="L24" s="6">
        <f>($P$1*'Single Exponen'!L24)-('Konstanta a triple'!$P$1*'Double Exponen'!L24)+'triple exponen'!L24</f>
        <v>50640.787318070099</v>
      </c>
      <c r="M24" s="6">
        <f>($P$1*'Single Exponen'!M24)-('Konstanta a triple'!$P$1*'Double Exponen'!M24)+'triple exponen'!M24</f>
        <v>45785.160649542086</v>
      </c>
    </row>
    <row r="25" spans="1:13" x14ac:dyDescent="0.3">
      <c r="A25" s="6">
        <f>A19+0.1</f>
        <v>0.5</v>
      </c>
      <c r="B25" s="6" t="str">
        <f t="shared" ref="B25:M25" si="3">B19</f>
        <v>T1</v>
      </c>
      <c r="C25" s="6" t="str">
        <f t="shared" si="3"/>
        <v>T2</v>
      </c>
      <c r="D25" s="6" t="str">
        <f t="shared" si="3"/>
        <v>T3</v>
      </c>
      <c r="E25" s="6" t="str">
        <f t="shared" si="3"/>
        <v>T4</v>
      </c>
      <c r="F25" s="6" t="str">
        <f t="shared" si="3"/>
        <v>T5</v>
      </c>
      <c r="G25" s="6" t="str">
        <f t="shared" si="3"/>
        <v>T6</v>
      </c>
      <c r="H25" s="6" t="str">
        <f t="shared" si="3"/>
        <v>T7</v>
      </c>
      <c r="I25" s="6" t="str">
        <f t="shared" si="3"/>
        <v>T8</v>
      </c>
      <c r="J25" s="6" t="str">
        <f t="shared" si="3"/>
        <v>T9</v>
      </c>
      <c r="K25" s="6" t="str">
        <f t="shared" si="3"/>
        <v>T10</v>
      </c>
      <c r="L25" s="6" t="str">
        <f t="shared" si="3"/>
        <v>T11</v>
      </c>
      <c r="M25" s="6" t="str">
        <f t="shared" si="3"/>
        <v>T12</v>
      </c>
    </row>
    <row r="26" spans="1:13" x14ac:dyDescent="0.3">
      <c r="A26" s="6" t="str">
        <f>A20</f>
        <v>Oil A 20 LT</v>
      </c>
      <c r="B26" s="6">
        <f>($P$1*'Single Exponen'!B26)-('Konstanta a triple'!$P$1*'Double Exponen'!B26)+'triple exponen'!B26</f>
        <v>12588.09</v>
      </c>
      <c r="C26" s="6">
        <f>($P$1*'Single Exponen'!C26)-('Konstanta a triple'!$P$1*'Double Exponen'!C26)+'triple exponen'!C26</f>
        <v>5764.5425000000014</v>
      </c>
      <c r="D26" s="6">
        <f>($P$1*'Single Exponen'!D26)-('Konstanta a triple'!$P$1*'Double Exponen'!D26)+'triple exponen'!D26</f>
        <v>18508.932500000003</v>
      </c>
      <c r="E26" s="6">
        <f>($P$1*'Single Exponen'!E26)-('Konstanta a triple'!$P$1*'Double Exponen'!E26)+'triple exponen'!E26</f>
        <v>12868.938124999993</v>
      </c>
      <c r="F26" s="6">
        <f>($P$1*'Single Exponen'!F26)-('Konstanta a triple'!$P$1*'Double Exponen'!F26)+'triple exponen'!F26</f>
        <v>9497.0768750000097</v>
      </c>
      <c r="G26" s="6">
        <f>($P$1*'Single Exponen'!G26)-('Konstanta a triple'!$P$1*'Double Exponen'!G26)+'triple exponen'!G26</f>
        <v>7999.9645312500033</v>
      </c>
      <c r="H26" s="6">
        <f>($P$1*'Single Exponen'!H26)-('Konstanta a triple'!$P$1*'Double Exponen'!H26)+'triple exponen'!H26</f>
        <v>16670.323906249996</v>
      </c>
      <c r="I26" s="6">
        <f>($P$1*'Single Exponen'!I26)-('Konstanta a triple'!$P$1*'Double Exponen'!I26)+'triple exponen'!I26</f>
        <v>12377.677070312506</v>
      </c>
      <c r="J26" s="6">
        <f>($P$1*'Single Exponen'!J26)-('Konstanta a triple'!$P$1*'Double Exponen'!J26)+'triple exponen'!J26</f>
        <v>11016.384492187497</v>
      </c>
      <c r="K26" s="6">
        <f>($P$1*'Single Exponen'!K26)-('Konstanta a triple'!$P$1*'Double Exponen'!K26)+'triple exponen'!K26</f>
        <v>8571.6681738281259</v>
      </c>
      <c r="L26" s="6">
        <f>($P$1*'Single Exponen'!L26)-('Konstanta a triple'!$P$1*'Double Exponen'!L26)+'triple exponen'!L26</f>
        <v>16650.078525390632</v>
      </c>
      <c r="M26" s="6">
        <f>($P$1*'Single Exponen'!M26)-('Konstanta a triple'!$P$1*'Double Exponen'!M26)+'triple exponen'!M26</f>
        <v>13074.314719238282</v>
      </c>
    </row>
    <row r="27" spans="1:13" x14ac:dyDescent="0.3">
      <c r="A27" s="6" t="str">
        <f>A21</f>
        <v>Oil A 200 LT</v>
      </c>
      <c r="B27" s="6">
        <f>($P$1*'Single Exponen'!B27)-('Konstanta a triple'!$P$1*'Double Exponen'!B27)+'triple exponen'!B27</f>
        <v>459915.78</v>
      </c>
      <c r="C27" s="6">
        <f>($P$1*'Single Exponen'!C27)-('Konstanta a triple'!$P$1*'Double Exponen'!C27)+'triple exponen'!C27</f>
        <v>405057.63749999995</v>
      </c>
      <c r="D27" s="6">
        <f>($P$1*'Single Exponen'!D27)-('Konstanta a triple'!$P$1*'Double Exponen'!D27)+'triple exponen'!D27</f>
        <v>386318.26375000004</v>
      </c>
      <c r="E27" s="6">
        <f>($P$1*'Single Exponen'!E27)-('Konstanta a triple'!$P$1*'Double Exponen'!E27)+'triple exponen'!E27</f>
        <v>486903.66000000003</v>
      </c>
      <c r="F27" s="6">
        <f>($P$1*'Single Exponen'!F27)-('Konstanta a triple'!$P$1*'Double Exponen'!F27)+'triple exponen'!F27</f>
        <v>244016.13437500026</v>
      </c>
      <c r="G27" s="6">
        <f>($P$1*'Single Exponen'!G27)-('Konstanta a triple'!$P$1*'Double Exponen'!G27)+'triple exponen'!G27</f>
        <v>343623.57453124993</v>
      </c>
      <c r="H27" s="6">
        <f>($P$1*'Single Exponen'!H27)-('Konstanta a triple'!$P$1*'Double Exponen'!H27)+'triple exponen'!H27</f>
        <v>448679.13101562532</v>
      </c>
      <c r="I27" s="6">
        <f>($P$1*'Single Exponen'!I27)-('Konstanta a triple'!$P$1*'Double Exponen'!I27)+'triple exponen'!I27</f>
        <v>514119.69492187514</v>
      </c>
      <c r="J27" s="6">
        <f>($P$1*'Single Exponen'!J27)-('Konstanta a triple'!$P$1*'Double Exponen'!J27)+'triple exponen'!J27</f>
        <v>524608.10343750007</v>
      </c>
      <c r="K27" s="6">
        <f>($P$1*'Single Exponen'!K27)-('Konstanta a triple'!$P$1*'Double Exponen'!K27)+'triple exponen'!K27</f>
        <v>532046.65034179704</v>
      </c>
      <c r="L27" s="6">
        <f>($P$1*'Single Exponen'!L27)-('Konstanta a triple'!$P$1*'Double Exponen'!L27)+'triple exponen'!L27</f>
        <v>490501.75729980483</v>
      </c>
      <c r="M27" s="6">
        <f>($P$1*'Single Exponen'!M27)-('Konstanta a triple'!$P$1*'Double Exponen'!M27)+'triple exponen'!M27</f>
        <v>433605.06362304697</v>
      </c>
    </row>
    <row r="28" spans="1:13" x14ac:dyDescent="0.3">
      <c r="A28" s="6" t="str">
        <f>A22</f>
        <v>Oil A 1000 LT</v>
      </c>
      <c r="B28" s="6">
        <f>($P$1*'Single Exponen'!B28)-('Konstanta a triple'!$P$1*'Double Exponen'!B28)+'triple exponen'!B28</f>
        <v>23458.3</v>
      </c>
      <c r="C28" s="6">
        <f>($P$1*'Single Exponen'!C28)-('Konstanta a triple'!$P$1*'Double Exponen'!C28)+'triple exponen'!C28</f>
        <v>39871.812499999993</v>
      </c>
      <c r="D28" s="6">
        <f>($P$1*'Single Exponen'!D28)-('Konstanta a triple'!$P$1*'Double Exponen'!D28)+'triple exponen'!D28</f>
        <v>31607.381249999988</v>
      </c>
      <c r="E28" s="6">
        <f>($P$1*'Single Exponen'!E28)-('Konstanta a triple'!$P$1*'Double Exponen'!E28)+'triple exponen'!E28</f>
        <v>38379.624999999993</v>
      </c>
      <c r="F28" s="6">
        <f>($P$1*'Single Exponen'!F28)-('Konstanta a triple'!$P$1*'Double Exponen'!F28)+'triple exponen'!F28</f>
        <v>26209.728125000001</v>
      </c>
      <c r="G28" s="6">
        <f>($P$1*'Single Exponen'!G28)-('Konstanta a triple'!$P$1*'Double Exponen'!G28)+'triple exponen'!G28</f>
        <v>52467.62109375</v>
      </c>
      <c r="H28" s="6">
        <f>($P$1*'Single Exponen'!H28)-('Konstanta a triple'!$P$1*'Double Exponen'!H28)+'triple exponen'!H28</f>
        <v>81690.288671874994</v>
      </c>
      <c r="I28" s="6">
        <f>($P$1*'Single Exponen'!I28)-('Konstanta a triple'!$P$1*'Double Exponen'!I28)+'triple exponen'!I28</f>
        <v>61010.033203125015</v>
      </c>
      <c r="J28" s="6">
        <f>($P$1*'Single Exponen'!J28)-('Konstanta a triple'!$P$1*'Double Exponen'!J28)+'triple exponen'!J28</f>
        <v>17253.635937500017</v>
      </c>
      <c r="K28" s="6">
        <f>($P$1*'Single Exponen'!K28)-('Konstanta a triple'!$P$1*'Double Exponen'!K28)+'triple exponen'!K28</f>
        <v>19119.727587890637</v>
      </c>
      <c r="L28" s="6">
        <f>($P$1*'Single Exponen'!L28)-('Konstanta a triple'!$P$1*'Double Exponen'!L28)+'triple exponen'!L28</f>
        <v>23850.956079101568</v>
      </c>
      <c r="M28" s="6">
        <f>($P$1*'Single Exponen'!M28)-('Konstanta a triple'!$P$1*'Double Exponen'!M28)+'triple exponen'!M28</f>
        <v>32076.905419921881</v>
      </c>
    </row>
    <row r="29" spans="1:13" x14ac:dyDescent="0.3">
      <c r="A29" s="6" t="str">
        <f>A23</f>
        <v>Oil B 20 LT</v>
      </c>
      <c r="B29" s="6">
        <f>($P$1*'Single Exponen'!B29)-('Konstanta a triple'!$P$1*'Double Exponen'!B29)+'triple exponen'!B29</f>
        <v>4698.6499999999996</v>
      </c>
      <c r="C29" s="6">
        <f>($P$1*'Single Exponen'!C29)-('Konstanta a triple'!$P$1*'Double Exponen'!C29)+'triple exponen'!C29</f>
        <v>8151.7062500000011</v>
      </c>
      <c r="D29" s="6">
        <f>($P$1*'Single Exponen'!D29)-('Konstanta a triple'!$P$1*'Double Exponen'!D29)+'triple exponen'!D29</f>
        <v>8318.0406249999996</v>
      </c>
      <c r="E29" s="6">
        <f>($P$1*'Single Exponen'!E29)-('Konstanta a triple'!$P$1*'Double Exponen'!E29)+'triple exponen'!E29</f>
        <v>6929.9712500000005</v>
      </c>
      <c r="F29" s="6">
        <f>($P$1*'Single Exponen'!F29)-('Konstanta a triple'!$P$1*'Double Exponen'!F29)+'triple exponen'!F29</f>
        <v>40795.3284375</v>
      </c>
      <c r="G29" s="6">
        <f>($P$1*'Single Exponen'!G29)-('Konstanta a triple'!$P$1*'Double Exponen'!G29)+'triple exponen'!G29</f>
        <v>14154.446796874992</v>
      </c>
      <c r="H29" s="6">
        <f>($P$1*'Single Exponen'!H29)-('Konstanta a triple'!$P$1*'Double Exponen'!H29)+'triple exponen'!H29</f>
        <v>8376.369023437499</v>
      </c>
      <c r="I29" s="6">
        <f>($P$1*'Single Exponen'!I29)-('Konstanta a triple'!$P$1*'Double Exponen'!I29)+'triple exponen'!I29</f>
        <v>14990.343242187506</v>
      </c>
      <c r="J29" s="6">
        <f>($P$1*'Single Exponen'!J29)-('Konstanta a triple'!$P$1*'Double Exponen'!J29)+'triple exponen'!J29</f>
        <v>16951.435195312508</v>
      </c>
      <c r="K29" s="6">
        <f>($P$1*'Single Exponen'!K29)-('Konstanta a triple'!$P$1*'Double Exponen'!K29)+'triple exponen'!K29</f>
        <v>33053.241489257809</v>
      </c>
      <c r="L29" s="6">
        <f>($P$1*'Single Exponen'!L29)-('Konstanta a triple'!$P$1*'Double Exponen'!L29)+'triple exponen'!L29</f>
        <v>11368.203742675782</v>
      </c>
      <c r="M29" s="6">
        <f>($P$1*'Single Exponen'!M29)-('Konstanta a triple'!$P$1*'Double Exponen'!M29)+'triple exponen'!M29</f>
        <v>7559.0263964843762</v>
      </c>
    </row>
    <row r="30" spans="1:13" x14ac:dyDescent="0.3">
      <c r="A30" s="6" t="str">
        <f>A24</f>
        <v>Oil B 200 LT</v>
      </c>
      <c r="B30" s="6">
        <f>($P$1*'Single Exponen'!B30)-('Konstanta a triple'!$P$1*'Double Exponen'!B30)+'triple exponen'!B30</f>
        <v>1033.08</v>
      </c>
      <c r="C30" s="6">
        <f>($P$1*'Single Exponen'!C30)-('Konstanta a triple'!$P$1*'Double Exponen'!C30)+'triple exponen'!C30</f>
        <v>22422.3325</v>
      </c>
      <c r="D30" s="6">
        <f>($P$1*'Single Exponen'!D30)-('Konstanta a triple'!$P$1*'Double Exponen'!D30)+'triple exponen'!D30</f>
        <v>21772.438750000001</v>
      </c>
      <c r="E30" s="6">
        <f>($P$1*'Single Exponen'!E30)-('Konstanta a triple'!$P$1*'Double Exponen'!E30)+'triple exponen'!E30</f>
        <v>20090.036250000001</v>
      </c>
      <c r="F30" s="6">
        <f>($P$1*'Single Exponen'!F30)-('Konstanta a triple'!$P$1*'Double Exponen'!F30)+'triple exponen'!F30</f>
        <v>26202.161874999991</v>
      </c>
      <c r="G30" s="6">
        <f>($P$1*'Single Exponen'!G30)-('Konstanta a triple'!$P$1*'Double Exponen'!G30)+'triple exponen'!G30</f>
        <v>19104.936718749996</v>
      </c>
      <c r="H30" s="6">
        <f>($P$1*'Single Exponen'!H30)-('Konstanta a triple'!$P$1*'Double Exponen'!H30)+'triple exponen'!H30</f>
        <v>48623.021953125004</v>
      </c>
      <c r="I30" s="6">
        <f>($P$1*'Single Exponen'!I30)-('Konstanta a triple'!$P$1*'Double Exponen'!I30)+'triple exponen'!I30</f>
        <v>36380.291874999995</v>
      </c>
      <c r="J30" s="6">
        <f>($P$1*'Single Exponen'!J30)-('Konstanta a triple'!$P$1*'Double Exponen'!J30)+'triple exponen'!J30</f>
        <v>29488.160937500012</v>
      </c>
      <c r="K30" s="6">
        <f>($P$1*'Single Exponen'!K30)-('Konstanta a triple'!$P$1*'Double Exponen'!K30)+'triple exponen'!K30</f>
        <v>47620.200244140651</v>
      </c>
      <c r="L30" s="6">
        <f>($P$1*'Single Exponen'!L30)-('Konstanta a triple'!$P$1*'Double Exponen'!L30)+'triple exponen'!L30</f>
        <v>50975.868647460949</v>
      </c>
      <c r="M30" s="6">
        <f>($P$1*'Single Exponen'!M30)-('Konstanta a triple'!$P$1*'Double Exponen'!M30)+'triple exponen'!M30</f>
        <v>44705.64790527345</v>
      </c>
    </row>
    <row r="31" spans="1:13" x14ac:dyDescent="0.3">
      <c r="A31" s="6">
        <f>A25+0.1</f>
        <v>0.6</v>
      </c>
      <c r="B31" s="6" t="str">
        <f t="shared" ref="B31:M31" si="4">B25</f>
        <v>T1</v>
      </c>
      <c r="C31" s="6" t="str">
        <f t="shared" si="4"/>
        <v>T2</v>
      </c>
      <c r="D31" s="6" t="str">
        <f t="shared" si="4"/>
        <v>T3</v>
      </c>
      <c r="E31" s="6" t="str">
        <f t="shared" si="4"/>
        <v>T4</v>
      </c>
      <c r="F31" s="6" t="str">
        <f t="shared" si="4"/>
        <v>T5</v>
      </c>
      <c r="G31" s="6" t="str">
        <f t="shared" si="4"/>
        <v>T6</v>
      </c>
      <c r="H31" s="6" t="str">
        <f t="shared" si="4"/>
        <v>T7</v>
      </c>
      <c r="I31" s="6" t="str">
        <f t="shared" si="4"/>
        <v>T8</v>
      </c>
      <c r="J31" s="6" t="str">
        <f t="shared" si="4"/>
        <v>T9</v>
      </c>
      <c r="K31" s="6" t="str">
        <f t="shared" si="4"/>
        <v>T10</v>
      </c>
      <c r="L31" s="6" t="str">
        <f t="shared" si="4"/>
        <v>T11</v>
      </c>
      <c r="M31" s="6" t="str">
        <f t="shared" si="4"/>
        <v>T12</v>
      </c>
    </row>
    <row r="32" spans="1:13" x14ac:dyDescent="0.3">
      <c r="A32" s="6" t="str">
        <f>A26</f>
        <v>Oil A 20 LT</v>
      </c>
      <c r="B32" s="6">
        <f>($P$1*'Single Exponen'!B32)-('Konstanta a triple'!$P$1*'Double Exponen'!B32)+'triple exponen'!B32</f>
        <v>12588.09</v>
      </c>
      <c r="C32" s="6">
        <f>($P$1*'Single Exponen'!C32)-('Konstanta a triple'!$P$1*'Double Exponen'!C32)+'triple exponen'!C32</f>
        <v>-325.96104000000378</v>
      </c>
      <c r="D32" s="6">
        <f>($P$1*'Single Exponen'!D32)-('Konstanta a triple'!$P$1*'Double Exponen'!D32)+'triple exponen'!D32</f>
        <v>22293.752352000007</v>
      </c>
      <c r="E32" s="6">
        <f>($P$1*'Single Exponen'!E32)-('Konstanta a triple'!$P$1*'Double Exponen'!E32)+'triple exponen'!E32</f>
        <v>13799.268873599998</v>
      </c>
      <c r="F32" s="6">
        <f>($P$1*'Single Exponen'!F32)-('Konstanta a triple'!$P$1*'Double Exponen'!F32)+'triple exponen'!F32</f>
        <v>7303.4739455999952</v>
      </c>
      <c r="G32" s="6">
        <f>($P$1*'Single Exponen'!G32)-('Konstanta a triple'!$P$1*'Double Exponen'!G32)+'triple exponen'!G32</f>
        <v>3602.27727744</v>
      </c>
      <c r="H32" s="6">
        <f>($P$1*'Single Exponen'!H32)-('Konstanta a triple'!$P$1*'Double Exponen'!H32)+'triple exponen'!H32</f>
        <v>19261.002617318405</v>
      </c>
      <c r="I32" s="6">
        <f>($P$1*'Single Exponen'!I32)-('Konstanta a triple'!$P$1*'Double Exponen'!I32)+'triple exponen'!I32</f>
        <v>12793.576853460474</v>
      </c>
      <c r="J32" s="6">
        <f>($P$1*'Single Exponen'!J32)-('Konstanta a triple'!$P$1*'Double Exponen'!J32)+'triple exponen'!J32</f>
        <v>10137.866035593976</v>
      </c>
      <c r="K32" s="6">
        <f>($P$1*'Single Exponen'!K32)-('Konstanta a triple'!$P$1*'Double Exponen'!K32)+'triple exponen'!K32</f>
        <v>5129.9612863583916</v>
      </c>
      <c r="L32" s="6">
        <f>($P$1*'Single Exponen'!L32)-('Konstanta a triple'!$P$1*'Double Exponen'!L32)+'triple exponen'!L32</f>
        <v>19689.053622384876</v>
      </c>
      <c r="M32" s="6">
        <f>($P$1*'Single Exponen'!M32)-('Konstanta a triple'!$P$1*'Double Exponen'!M32)+'triple exponen'!M32</f>
        <v>14415.425495184434</v>
      </c>
    </row>
    <row r="33" spans="1:13" x14ac:dyDescent="0.3">
      <c r="A33" s="6" t="str">
        <f>A27</f>
        <v>Oil A 200 LT</v>
      </c>
      <c r="B33" s="6">
        <f>($P$1*'Single Exponen'!B33)-('Konstanta a triple'!$P$1*'Double Exponen'!B33)+'triple exponen'!B33</f>
        <v>459915.78</v>
      </c>
      <c r="C33" s="6">
        <f>($P$1*'Single Exponen'!C33)-('Konstanta a triple'!$P$1*'Double Exponen'!C33)+'triple exponen'!C33</f>
        <v>356092.82687999983</v>
      </c>
      <c r="D33" s="6">
        <f>($P$1*'Single Exponen'!D33)-('Konstanta a triple'!$P$1*'Double Exponen'!D33)+'triple exponen'!D33</f>
        <v>308568.2842559999</v>
      </c>
      <c r="E33" s="6">
        <f>($P$1*'Single Exponen'!E33)-('Konstanta a triple'!$P$1*'Double Exponen'!E33)+'triple exponen'!E33</f>
        <v>489814.50334079983</v>
      </c>
      <c r="F33" s="6">
        <f>($P$1*'Single Exponen'!F33)-('Konstanta a triple'!$P$1*'Double Exponen'!F33)+'triple exponen'!F33</f>
        <v>50246.077324799902</v>
      </c>
      <c r="G33" s="6">
        <f>($P$1*'Single Exponen'!G33)-('Konstanta a triple'!$P$1*'Double Exponen'!G33)+'triple exponen'!G33</f>
        <v>197010.87160512002</v>
      </c>
      <c r="H33" s="6">
        <f>($P$1*'Single Exponen'!H33)-('Konstanta a triple'!$P$1*'Double Exponen'!H33)+'triple exponen'!H33</f>
        <v>401135.04168395547</v>
      </c>
      <c r="I33" s="6">
        <f>($P$1*'Single Exponen'!I33)-('Konstanta a triple'!$P$1*'Double Exponen'!I33)+'triple exponen'!I33</f>
        <v>557387.50330498931</v>
      </c>
      <c r="J33" s="6">
        <f>($P$1*'Single Exponen'!J33)-('Konstanta a triple'!$P$1*'Double Exponen'!J33)+'triple exponen'!J33</f>
        <v>612173.08980773878</v>
      </c>
      <c r="K33" s="6">
        <f>($P$1*'Single Exponen'!K33)-('Konstanta a triple'!$P$1*'Double Exponen'!K33)+'triple exponen'!K33</f>
        <v>646370.5692072541</v>
      </c>
      <c r="L33" s="6">
        <f>($P$1*'Single Exponen'!L33)-('Konstanta a triple'!$P$1*'Double Exponen'!L33)+'triple exponen'!L33</f>
        <v>576633.93717744108</v>
      </c>
      <c r="M33" s="6">
        <f>($P$1*'Single Exponen'!M33)-('Konstanta a triple'!$P$1*'Double Exponen'!M33)+'triple exponen'!M33</f>
        <v>459688.64587158011</v>
      </c>
    </row>
    <row r="34" spans="1:13" x14ac:dyDescent="0.3">
      <c r="A34" s="6" t="str">
        <f>A28</f>
        <v>Oil A 1000 LT</v>
      </c>
      <c r="B34" s="6">
        <f>($P$1*'Single Exponen'!B34)-('Konstanta a triple'!$P$1*'Double Exponen'!B34)+'triple exponen'!B34</f>
        <v>23458.3</v>
      </c>
      <c r="C34" s="6">
        <f>($P$1*'Single Exponen'!C34)-('Konstanta a triple'!$P$1*'Double Exponen'!C34)+'triple exponen'!C34</f>
        <v>54522.044799999996</v>
      </c>
      <c r="D34" s="6">
        <f>($P$1*'Single Exponen'!D34)-('Konstanta a triple'!$P$1*'Double Exponen'!D34)+'triple exponen'!D34</f>
        <v>42489.043360000003</v>
      </c>
      <c r="E34" s="6">
        <f>($P$1*'Single Exponen'!E34)-('Konstanta a triple'!$P$1*'Double Exponen'!E34)+'triple exponen'!E34</f>
        <v>54985.163487999984</v>
      </c>
      <c r="F34" s="6">
        <f>($P$1*'Single Exponen'!F34)-('Konstanta a triple'!$P$1*'Double Exponen'!F34)+'triple exponen'!F34</f>
        <v>32774.825823999992</v>
      </c>
      <c r="G34" s="6">
        <f>($P$1*'Single Exponen'!G34)-('Konstanta a triple'!$P$1*'Double Exponen'!G34)+'triple exponen'!G34</f>
        <v>79597.9910752</v>
      </c>
      <c r="H34" s="6">
        <f>($P$1*'Single Exponen'!H34)-('Konstanta a triple'!$P$1*'Double Exponen'!H34)+'triple exponen'!H34</f>
        <v>138754.96444499199</v>
      </c>
      <c r="I34" s="6">
        <f>($P$1*'Single Exponen'!I34)-('Konstanta a triple'!$P$1*'Double Exponen'!I34)+'triple exponen'!I34</f>
        <v>107230.5971289664</v>
      </c>
      <c r="J34" s="6">
        <f>($P$1*'Single Exponen'!J34)-('Konstanta a triple'!$P$1*'Double Exponen'!J34)+'triple exponen'!J34</f>
        <v>21972.493122478729</v>
      </c>
      <c r="K34" s="6">
        <f>($P$1*'Single Exponen'!K34)-('Konstanta a triple'!$P$1*'Double Exponen'!K34)+'triple exponen'!K34</f>
        <v>12549.655314802243</v>
      </c>
      <c r="L34" s="6">
        <f>($P$1*'Single Exponen'!L34)-('Konstanta a triple'!$P$1*'Double Exponen'!L34)+'triple exponen'!L34</f>
        <v>14300.75567395371</v>
      </c>
      <c r="M34" s="6">
        <f>($P$1*'Single Exponen'!M34)-('Konstanta a triple'!$P$1*'Double Exponen'!M34)+'triple exponen'!M34</f>
        <v>27263.177378332235</v>
      </c>
    </row>
    <row r="35" spans="1:13" x14ac:dyDescent="0.3">
      <c r="A35" s="6" t="str">
        <f>A29</f>
        <v>Oil B 20 LT</v>
      </c>
      <c r="B35" s="6">
        <f>($P$1*'Single Exponen'!B35)-('Konstanta a triple'!$P$1*'Double Exponen'!B35)+'triple exponen'!B35</f>
        <v>4698.6499999999996</v>
      </c>
      <c r="C35" s="6">
        <f>($P$1*'Single Exponen'!C35)-('Konstanta a triple'!$P$1*'Double Exponen'!C35)+'triple exponen'!C35</f>
        <v>11233.8056</v>
      </c>
      <c r="D35" s="6">
        <f>($P$1*'Single Exponen'!D35)-('Konstanta a triple'!$P$1*'Double Exponen'!D35)+'triple exponen'!D35</f>
        <v>12307.657520000002</v>
      </c>
      <c r="E35" s="6">
        <f>($P$1*'Single Exponen'!E35)-('Konstanta a triple'!$P$1*'Double Exponen'!E35)+'triple exponen'!E35</f>
        <v>10031.897216000003</v>
      </c>
      <c r="F35" s="6">
        <f>($P$1*'Single Exponen'!F35)-('Konstanta a triple'!$P$1*'Double Exponen'!F35)+'triple exponen'!F35</f>
        <v>73852.749775999997</v>
      </c>
      <c r="G35" s="6">
        <f>($P$1*'Single Exponen'!G35)-('Konstanta a triple'!$P$1*'Double Exponen'!G35)+'triple exponen'!G35</f>
        <v>30589.618951999997</v>
      </c>
      <c r="H35" s="6">
        <f>($P$1*'Single Exponen'!H35)-('Konstanta a triple'!$P$1*'Double Exponen'!H35)+'triple exponen'!H35</f>
        <v>16609.288814624</v>
      </c>
      <c r="I35" s="6">
        <f>($P$1*'Single Exponen'!I35)-('Konstanta a triple'!$P$1*'Double Exponen'!I35)+'triple exponen'!I35</f>
        <v>25356.416954844804</v>
      </c>
      <c r="J35" s="6">
        <f>($P$1*'Single Exponen'!J35)-('Konstanta a triple'!$P$1*'Double Exponen'!J35)+'triple exponen'!J35</f>
        <v>28042.155875455035</v>
      </c>
      <c r="K35" s="6">
        <f>($P$1*'Single Exponen'!K35)-('Konstanta a triple'!$P$1*'Double Exponen'!K35)+'triple exponen'!K35</f>
        <v>58023.494857315971</v>
      </c>
      <c r="L35" s="6">
        <f>($P$1*'Single Exponen'!L35)-('Konstanta a triple'!$P$1*'Double Exponen'!L35)+'triple exponen'!L35</f>
        <v>19863.644928534406</v>
      </c>
      <c r="M35" s="6">
        <f>($P$1*'Single Exponen'!M35)-('Konstanta a triple'!$P$1*'Double Exponen'!M35)+'triple exponen'!M35</f>
        <v>8606.4559901359444</v>
      </c>
    </row>
    <row r="36" spans="1:13" x14ac:dyDescent="0.3">
      <c r="A36" s="6" t="str">
        <f>A30</f>
        <v>Oil B 200 LT</v>
      </c>
      <c r="B36" s="6">
        <f>($P$1*'Single Exponen'!B36)-('Konstanta a triple'!$P$1*'Double Exponen'!B36)+'triple exponen'!B36</f>
        <v>1033.08</v>
      </c>
      <c r="C36" s="6">
        <f>($P$1*'Single Exponen'!C36)-('Konstanta a triple'!$P$1*'Double Exponen'!C36)+'triple exponen'!C36</f>
        <v>41513.76816</v>
      </c>
      <c r="D36" s="6">
        <f>($P$1*'Single Exponen'!D36)-('Konstanta a triple'!$P$1*'Double Exponen'!D36)+'triple exponen'!D36</f>
        <v>44985.592032</v>
      </c>
      <c r="E36" s="6">
        <f>($P$1*'Single Exponen'!E36)-('Konstanta a triple'!$P$1*'Double Exponen'!E36)+'triple exponen'!E36</f>
        <v>43607.988153599988</v>
      </c>
      <c r="F36" s="6">
        <f>($P$1*'Single Exponen'!F36)-('Konstanta a triple'!$P$1*'Double Exponen'!F36)+'triple exponen'!F36</f>
        <v>54859.378847999986</v>
      </c>
      <c r="G36" s="6">
        <f>($P$1*'Single Exponen'!G36)-('Konstanta a triple'!$P$1*'Double Exponen'!G36)+'triple exponen'!G36</f>
        <v>41610.522359039998</v>
      </c>
      <c r="H36" s="6">
        <f>($P$1*'Single Exponen'!H36)-('Konstanta a triple'!$P$1*'Double Exponen'!H36)+'triple exponen'!H36</f>
        <v>94884.185438246379</v>
      </c>
      <c r="I36" s="6">
        <f>($P$1*'Single Exponen'!I36)-('Konstanta a triple'!$P$1*'Double Exponen'!I36)+'triple exponen'!I36</f>
        <v>75836.288283175672</v>
      </c>
      <c r="J36" s="6">
        <f>($P$1*'Single Exponen'!J36)-('Konstanta a triple'!$P$1*'Double Exponen'!J36)+'triple exponen'!J36</f>
        <v>60710.064755443571</v>
      </c>
      <c r="K36" s="6">
        <f>($P$1*'Single Exponen'!K36)-('Konstanta a triple'!$P$1*'Double Exponen'!K36)+'triple exponen'!K36</f>
        <v>90749.05973816698</v>
      </c>
      <c r="L36" s="6">
        <f>($P$1*'Single Exponen'!L36)-('Konstanta a triple'!$P$1*'Double Exponen'!L36)+'triple exponen'!L36</f>
        <v>97454.452082870775</v>
      </c>
      <c r="M36" s="6">
        <f>($P$1*'Single Exponen'!M36)-('Konstanta a triple'!$P$1*'Double Exponen'!M36)+'triple exponen'!M36</f>
        <v>84952.55745607728</v>
      </c>
    </row>
    <row r="37" spans="1:13" x14ac:dyDescent="0.3">
      <c r="A37" s="6">
        <f>A31+0.1</f>
        <v>0.7</v>
      </c>
      <c r="B37" s="6" t="str">
        <f t="shared" ref="B37:M37" si="5">B31</f>
        <v>T1</v>
      </c>
      <c r="C37" s="6" t="str">
        <f t="shared" si="5"/>
        <v>T2</v>
      </c>
      <c r="D37" s="6" t="str">
        <f t="shared" si="5"/>
        <v>T3</v>
      </c>
      <c r="E37" s="6" t="str">
        <f t="shared" si="5"/>
        <v>T4</v>
      </c>
      <c r="F37" s="6" t="str">
        <f t="shared" si="5"/>
        <v>T5</v>
      </c>
      <c r="G37" s="6" t="str">
        <f t="shared" si="5"/>
        <v>T6</v>
      </c>
      <c r="H37" s="6" t="str">
        <f t="shared" si="5"/>
        <v>T7</v>
      </c>
      <c r="I37" s="6" t="str">
        <f t="shared" si="5"/>
        <v>T8</v>
      </c>
      <c r="J37" s="6" t="str">
        <f t="shared" si="5"/>
        <v>T9</v>
      </c>
      <c r="K37" s="6" t="str">
        <f t="shared" si="5"/>
        <v>T10</v>
      </c>
      <c r="L37" s="6" t="str">
        <f t="shared" si="5"/>
        <v>T11</v>
      </c>
      <c r="M37" s="6" t="str">
        <f t="shared" si="5"/>
        <v>T12</v>
      </c>
    </row>
    <row r="38" spans="1:13" x14ac:dyDescent="0.3">
      <c r="A38" s="6" t="str">
        <f>A32</f>
        <v>Oil A 20 LT</v>
      </c>
      <c r="B38" s="6">
        <f>($P$1*'Single Exponen'!B38)-('Konstanta a triple'!$P$1*'Double Exponen'!B38)+'triple exponen'!B38</f>
        <v>12588.09</v>
      </c>
      <c r="C38" s="6">
        <f>($P$1*'Single Exponen'!C38)-('Konstanta a triple'!$P$1*'Double Exponen'!C38)+'triple exponen'!C38</f>
        <v>-2532.8912599999985</v>
      </c>
      <c r="D38" s="6">
        <f>($P$1*'Single Exponen'!D38)-('Konstanta a triple'!$P$1*'Double Exponen'!D38)+'triple exponen'!D38</f>
        <v>25427.936740000005</v>
      </c>
      <c r="E38" s="6">
        <f>($P$1*'Single Exponen'!E38)-('Konstanta a triple'!$P$1*'Double Exponen'!E38)+'triple exponen'!E38</f>
        <v>13337.342093799998</v>
      </c>
      <c r="F38" s="6">
        <f>($P$1*'Single Exponen'!F38)-('Konstanta a triple'!$P$1*'Double Exponen'!F38)+'triple exponen'!F38</f>
        <v>6064.3015324399857</v>
      </c>
      <c r="G38" s="6">
        <f>($P$1*'Single Exponen'!G38)-('Konstanta a triple'!$P$1*'Double Exponen'!G38)+'triple exponen'!G38</f>
        <v>2571.2160655059961</v>
      </c>
      <c r="H38" s="6">
        <f>($P$1*'Single Exponen'!H38)-('Konstanta a triple'!$P$1*'Double Exponen'!H38)+'triple exponen'!H38</f>
        <v>21579.059142419595</v>
      </c>
      <c r="I38" s="6">
        <f>($P$1*'Single Exponen'!I38)-('Konstanta a triple'!$P$1*'Double Exponen'!I38)+'triple exponen'!I38</f>
        <v>12418.576856488255</v>
      </c>
      <c r="J38" s="6">
        <f>($P$1*'Single Exponen'!J38)-('Konstanta a triple'!$P$1*'Double Exponen'!J38)+'triple exponen'!J38</f>
        <v>9575.8670163140196</v>
      </c>
      <c r="K38" s="6">
        <f>($P$1*'Single Exponen'!K38)-('Konstanta a triple'!$P$1*'Double Exponen'!K38)+'triple exponen'!K38</f>
        <v>4094.6033654194198</v>
      </c>
      <c r="L38" s="6">
        <f>($P$1*'Single Exponen'!L38)-('Konstanta a triple'!$P$1*'Double Exponen'!L38)+'triple exponen'!L38</f>
        <v>21827.764073226841</v>
      </c>
      <c r="M38" s="6">
        <f>($P$1*'Single Exponen'!M38)-('Konstanta a triple'!$P$1*'Double Exponen'!M38)+'triple exponen'!M38</f>
        <v>14194.210057947459</v>
      </c>
    </row>
    <row r="39" spans="1:13" x14ac:dyDescent="0.3">
      <c r="A39" s="6" t="str">
        <f>A33</f>
        <v>Oil A 200 LT</v>
      </c>
      <c r="B39" s="6">
        <f>($P$1*'Single Exponen'!B39)-('Konstanta a triple'!$P$1*'Double Exponen'!B39)+'triple exponen'!B39</f>
        <v>459915.78</v>
      </c>
      <c r="C39" s="6">
        <f>($P$1*'Single Exponen'!C39)-('Konstanta a triple'!$P$1*'Double Exponen'!C39)+'triple exponen'!C39</f>
        <v>338350.13621999999</v>
      </c>
      <c r="D39" s="6">
        <f>($P$1*'Single Exponen'!D39)-('Konstanta a triple'!$P$1*'Double Exponen'!D39)+'triple exponen'!D39</f>
        <v>294566.66326999984</v>
      </c>
      <c r="E39" s="6">
        <f>($P$1*'Single Exponen'!E39)-('Konstanta a triple'!$P$1*'Double Exponen'!E39)+'triple exponen'!E39</f>
        <v>515754.63422639994</v>
      </c>
      <c r="F39" s="6">
        <f>($P$1*'Single Exponen'!F39)-('Konstanta a triple'!$P$1*'Double Exponen'!F39)+'triple exponen'!F39</f>
        <v>-16953.251906680001</v>
      </c>
      <c r="G39" s="6">
        <f>($P$1*'Single Exponen'!G39)-('Konstanta a triple'!$P$1*'Double Exponen'!G39)+'triple exponen'!G39</f>
        <v>199768.71914221812</v>
      </c>
      <c r="H39" s="6">
        <f>($P$1*'Single Exponen'!H39)-('Konstanta a triple'!$P$1*'Double Exponen'!H39)+'triple exponen'!H39</f>
        <v>435393.22256687377</v>
      </c>
      <c r="I39" s="6">
        <f>($P$1*'Single Exponen'!I39)-('Konstanta a triple'!$P$1*'Double Exponen'!I39)+'triple exponen'!I39</f>
        <v>594073.52876627224</v>
      </c>
      <c r="J39" s="6">
        <f>($P$1*'Single Exponen'!J39)-('Konstanta a triple'!$P$1*'Double Exponen'!J39)+'triple exponen'!J39</f>
        <v>633181.12552279746</v>
      </c>
      <c r="K39" s="6">
        <f>($P$1*'Single Exponen'!K39)-('Konstanta a triple'!$P$1*'Double Exponen'!K39)+'triple exponen'!K39</f>
        <v>659515.93134936132</v>
      </c>
      <c r="L39" s="6">
        <f>($P$1*'Single Exponen'!L39)-('Konstanta a triple'!$P$1*'Double Exponen'!L39)+'triple exponen'!L39</f>
        <v>569855.19639474782</v>
      </c>
      <c r="M39" s="6">
        <f>($P$1*'Single Exponen'!M39)-('Konstanta a triple'!$P$1*'Double Exponen'!M39)+'triple exponen'!M39</f>
        <v>438476.13406937057</v>
      </c>
    </row>
    <row r="40" spans="1:13" x14ac:dyDescent="0.3">
      <c r="A40" s="6" t="str">
        <f>A34</f>
        <v>Oil A 1000 LT</v>
      </c>
      <c r="B40" s="6">
        <f>($P$1*'Single Exponen'!B40)-('Konstanta a triple'!$P$1*'Double Exponen'!B40)+'triple exponen'!B40</f>
        <v>23458.3</v>
      </c>
      <c r="C40" s="6">
        <f>($P$1*'Single Exponen'!C40)-('Konstanta a triple'!$P$1*'Double Exponen'!C40)+'triple exponen'!C40</f>
        <v>59830.643699999979</v>
      </c>
      <c r="D40" s="6">
        <f>($P$1*'Single Exponen'!D40)-('Konstanta a triple'!$P$1*'Double Exponen'!D40)+'triple exponen'!D40</f>
        <v>42191.962850000004</v>
      </c>
      <c r="E40" s="6">
        <f>($P$1*'Single Exponen'!E40)-('Konstanta a triple'!$P$1*'Double Exponen'!E40)+'triple exponen'!E40</f>
        <v>57139.964044</v>
      </c>
      <c r="F40" s="6">
        <f>($P$1*'Single Exponen'!F40)-('Konstanta a triple'!$P$1*'Double Exponen'!F40)+'triple exponen'!F40</f>
        <v>29796.218010200009</v>
      </c>
      <c r="G40" s="6">
        <f>($P$1*'Single Exponen'!G40)-('Konstanta a triple'!$P$1*'Double Exponen'!G40)+'triple exponen'!G40</f>
        <v>86756.018858430005</v>
      </c>
      <c r="H40" s="6">
        <f>($P$1*'Single Exponen'!H40)-('Konstanta a triple'!$P$1*'Double Exponen'!H40)+'triple exponen'!H40</f>
        <v>151303.81322878296</v>
      </c>
      <c r="I40" s="6">
        <f>($P$1*'Single Exponen'!I40)-('Konstanta a triple'!$P$1*'Double Exponen'!I40)+'triple exponen'!I40</f>
        <v>106222.98682118978</v>
      </c>
      <c r="J40" s="6">
        <f>($P$1*'Single Exponen'!J40)-('Konstanta a triple'!$P$1*'Double Exponen'!J40)+'triple exponen'!J40</f>
        <v>7552.1774251842362</v>
      </c>
      <c r="K40" s="6">
        <f>($P$1*'Single Exponen'!K40)-('Konstanta a triple'!$P$1*'Double Exponen'!K40)+'triple exponen'!K40</f>
        <v>6587.5662119582121</v>
      </c>
      <c r="L40" s="6">
        <f>($P$1*'Single Exponen'!L40)-('Konstanta a triple'!$P$1*'Double Exponen'!L40)+'triple exponen'!L40</f>
        <v>12700.959372587589</v>
      </c>
      <c r="M40" s="6">
        <f>($P$1*'Single Exponen'!M40)-('Konstanta a triple'!$P$1*'Double Exponen'!M40)+'triple exponen'!M40</f>
        <v>28886.794816787653</v>
      </c>
    </row>
    <row r="41" spans="1:13" x14ac:dyDescent="0.3">
      <c r="A41" s="6" t="str">
        <f>A35</f>
        <v>Oil B 20 LT</v>
      </c>
      <c r="B41" s="6">
        <f>($P$1*'Single Exponen'!B41)-('Konstanta a triple'!$P$1*'Double Exponen'!B41)+'triple exponen'!B41</f>
        <v>4698.6499999999996</v>
      </c>
      <c r="C41" s="6">
        <f>($P$1*'Single Exponen'!C41)-('Konstanta a triple'!$P$1*'Double Exponen'!C41)+'triple exponen'!C41</f>
        <v>12350.622650000001</v>
      </c>
      <c r="D41" s="6">
        <f>($P$1*'Single Exponen'!D41)-('Konstanta a triple'!$P$1*'Double Exponen'!D41)+'triple exponen'!D41</f>
        <v>12861.288225000002</v>
      </c>
      <c r="E41" s="6">
        <f>($P$1*'Single Exponen'!E41)-('Konstanta a triple'!$P$1*'Double Exponen'!E41)+'triple exponen'!E41</f>
        <v>9851.2299080000012</v>
      </c>
      <c r="F41" s="6">
        <f>($P$1*'Single Exponen'!F41)-('Konstanta a triple'!$P$1*'Double Exponen'!F41)+'triple exponen'!F41</f>
        <v>84734.771344900015</v>
      </c>
      <c r="G41" s="6">
        <f>($P$1*'Single Exponen'!G41)-('Konstanta a triple'!$P$1*'Double Exponen'!G41)+'triple exponen'!G41</f>
        <v>26831.357621535004</v>
      </c>
      <c r="H41" s="6">
        <f>($P$1*'Single Exponen'!H41)-('Konstanta a triple'!$P$1*'Double Exponen'!H41)+'triple exponen'!H41</f>
        <v>13242.748857563496</v>
      </c>
      <c r="I41" s="6">
        <f>($P$1*'Single Exponen'!I41)-('Konstanta a triple'!$P$1*'Double Exponen'!I41)+'triple exponen'!I41</f>
        <v>25901.459333715095</v>
      </c>
      <c r="J41" s="6">
        <f>($P$1*'Single Exponen'!J41)-('Konstanta a triple'!$P$1*'Double Exponen'!J41)+'triple exponen'!J41</f>
        <v>28761.088757651974</v>
      </c>
      <c r="K41" s="6">
        <f>($P$1*'Single Exponen'!K41)-('Konstanta a triple'!$P$1*'Double Exponen'!K41)+'triple exponen'!K41</f>
        <v>63470.981213700099</v>
      </c>
      <c r="L41" s="6">
        <f>($P$1*'Single Exponen'!L41)-('Konstanta a triple'!$P$1*'Double Exponen'!L41)+'triple exponen'!L41</f>
        <v>15243.060309260329</v>
      </c>
      <c r="M41" s="6">
        <f>($P$1*'Single Exponen'!M41)-('Konstanta a triple'!$P$1*'Double Exponen'!M41)+'triple exponen'!M41</f>
        <v>5360.7751486292436</v>
      </c>
    </row>
    <row r="42" spans="1:13" x14ac:dyDescent="0.3">
      <c r="A42" s="6" t="str">
        <f>A36</f>
        <v>Oil B 200 LT</v>
      </c>
      <c r="B42" s="6">
        <f>($P$1*'Single Exponen'!B42)-('Konstanta a triple'!$P$1*'Double Exponen'!B42)+'triple exponen'!B42</f>
        <v>1033.08</v>
      </c>
      <c r="C42" s="6">
        <f>($P$1*'Single Exponen'!C42)-('Konstanta a triple'!$P$1*'Double Exponen'!C42)+'triple exponen'!C42</f>
        <v>48431.663539999994</v>
      </c>
      <c r="D42" s="6">
        <f>($P$1*'Single Exponen'!D42)-('Konstanta a triple'!$P$1*'Double Exponen'!D42)+'triple exponen'!D42</f>
        <v>47871.513949999986</v>
      </c>
      <c r="E42" s="6">
        <f>($P$1*'Single Exponen'!E42)-('Konstanta a triple'!$P$1*'Double Exponen'!E42)+'triple exponen'!E42</f>
        <v>44482.406314800006</v>
      </c>
      <c r="F42" s="6">
        <f>($P$1*'Single Exponen'!F42)-('Konstanta a triple'!$P$1*'Double Exponen'!F42)+'triple exponen'!F42</f>
        <v>57278.636870439994</v>
      </c>
      <c r="G42" s="6">
        <f>($P$1*'Single Exponen'!G42)-('Konstanta a triple'!$P$1*'Double Exponen'!G42)+'triple exponen'!G42</f>
        <v>40359.560367286002</v>
      </c>
      <c r="H42" s="6">
        <f>($P$1*'Single Exponen'!H42)-('Konstanta a triple'!$P$1*'Double Exponen'!H42)+'triple exponen'!H42</f>
        <v>103823.77026405057</v>
      </c>
      <c r="I42" s="6">
        <f>($P$1*'Single Exponen'!I42)-('Konstanta a triple'!$P$1*'Double Exponen'!I42)+'triple exponen'!I42</f>
        <v>75748.177841191355</v>
      </c>
      <c r="J42" s="6">
        <f>($P$1*'Single Exponen'!J42)-('Konstanta a triple'!$P$1*'Double Exponen'!J42)+'triple exponen'!J42</f>
        <v>58483.947345185326</v>
      </c>
      <c r="K42" s="6">
        <f>($P$1*'Single Exponen'!K42)-('Konstanta a triple'!$P$1*'Double Exponen'!K42)+'triple exponen'!K42</f>
        <v>95503.359329215513</v>
      </c>
      <c r="L42" s="6">
        <f>($P$1*'Single Exponen'!L42)-('Konstanta a triple'!$P$1*'Double Exponen'!L42)+'triple exponen'!L42</f>
        <v>100459.51467149306</v>
      </c>
      <c r="M42" s="6">
        <f>($P$1*'Single Exponen'!M42)-('Konstanta a triple'!$P$1*'Double Exponen'!M42)+'triple exponen'!M42</f>
        <v>84180.571004793761</v>
      </c>
    </row>
    <row r="43" spans="1:13" x14ac:dyDescent="0.3">
      <c r="A43" s="6">
        <f>A37+0.1</f>
        <v>0.79999999999999993</v>
      </c>
      <c r="B43" s="6" t="str">
        <f t="shared" ref="B43:M43" si="6">B37</f>
        <v>T1</v>
      </c>
      <c r="C43" s="6" t="str">
        <f t="shared" si="6"/>
        <v>T2</v>
      </c>
      <c r="D43" s="6" t="str">
        <f t="shared" si="6"/>
        <v>T3</v>
      </c>
      <c r="E43" s="6" t="str">
        <f t="shared" si="6"/>
        <v>T4</v>
      </c>
      <c r="F43" s="6" t="str">
        <f t="shared" si="6"/>
        <v>T5</v>
      </c>
      <c r="G43" s="6" t="str">
        <f t="shared" si="6"/>
        <v>T6</v>
      </c>
      <c r="H43" s="6" t="str">
        <f t="shared" si="6"/>
        <v>T7</v>
      </c>
      <c r="I43" s="6" t="str">
        <f t="shared" si="6"/>
        <v>T8</v>
      </c>
      <c r="J43" s="6" t="str">
        <f t="shared" si="6"/>
        <v>T9</v>
      </c>
      <c r="K43" s="6" t="str">
        <f t="shared" si="6"/>
        <v>T10</v>
      </c>
      <c r="L43" s="6" t="str">
        <f t="shared" si="6"/>
        <v>T11</v>
      </c>
      <c r="M43" s="6" t="str">
        <f t="shared" si="6"/>
        <v>T12</v>
      </c>
    </row>
    <row r="44" spans="1:13" x14ac:dyDescent="0.3">
      <c r="A44" s="6" t="str">
        <f>A38</f>
        <v>Oil A 20 LT</v>
      </c>
      <c r="B44" s="6">
        <f>($P$1*'Single Exponen'!B44)-('Konstanta a triple'!$P$1*'Double Exponen'!B44)+'triple exponen'!B44</f>
        <v>12588.09</v>
      </c>
      <c r="C44" s="6">
        <f>($P$1*'Single Exponen'!C44)-('Konstanta a triple'!$P$1*'Double Exponen'!C44)+'triple exponen'!C44</f>
        <v>-4755.4181599999938</v>
      </c>
      <c r="D44" s="6">
        <f>($P$1*'Single Exponen'!D44)-('Konstanta a triple'!$P$1*'Double Exponen'!D44)+'triple exponen'!D44</f>
        <v>29020.382671999992</v>
      </c>
      <c r="E44" s="6">
        <f>($P$1*'Single Exponen'!E44)-('Konstanta a triple'!$P$1*'Double Exponen'!E44)+'triple exponen'!E44</f>
        <v>12340.587977599993</v>
      </c>
      <c r="F44" s="6">
        <f>($P$1*'Single Exponen'!F44)-('Konstanta a triple'!$P$1*'Double Exponen'!F44)+'triple exponen'!F44</f>
        <v>4801.6127283199985</v>
      </c>
      <c r="G44" s="6">
        <f>($P$1*'Single Exponen'!G44)-('Konstanta a triple'!$P$1*'Double Exponen'!G44)+'triple exponen'!G44</f>
        <v>1774.5040919679959</v>
      </c>
      <c r="H44" s="6">
        <f>($P$1*'Single Exponen'!H44)-('Konstanta a triple'!$P$1*'Double Exponen'!H44)+'triple exponen'!H44</f>
        <v>24165.592995423995</v>
      </c>
      <c r="I44" s="6">
        <f>($P$1*'Single Exponen'!I44)-('Konstanta a triple'!$P$1*'Double Exponen'!I44)+'triple exponen'!I44</f>
        <v>11633.854355483512</v>
      </c>
      <c r="J44" s="6">
        <f>($P$1*'Single Exponen'!J44)-('Konstanta a triple'!$P$1*'Double Exponen'!J44)+'triple exponen'!J44</f>
        <v>9002.8570512698243</v>
      </c>
      <c r="K44" s="6">
        <f>($P$1*'Single Exponen'!K44)-('Konstanta a triple'!$P$1*'Double Exponen'!K44)+'triple exponen'!K44</f>
        <v>3161.4220922926197</v>
      </c>
      <c r="L44" s="6">
        <f>($P$1*'Single Exponen'!L44)-('Konstanta a triple'!$P$1*'Double Exponen'!L44)+'triple exponen'!L44</f>
        <v>24208.065776269887</v>
      </c>
      <c r="M44" s="6">
        <f>($P$1*'Single Exponen'!M44)-('Konstanta a triple'!$P$1*'Double Exponen'!M44)+'triple exponen'!M44</f>
        <v>13594.475366079518</v>
      </c>
    </row>
    <row r="45" spans="1:13" x14ac:dyDescent="0.3">
      <c r="A45" s="6" t="str">
        <f>A39</f>
        <v>Oil A 200 LT</v>
      </c>
      <c r="B45" s="6">
        <f>($P$1*'Single Exponen'!B45)-('Konstanta a triple'!$P$1*'Double Exponen'!B45)+'triple exponen'!B45</f>
        <v>459915.78</v>
      </c>
      <c r="C45" s="6">
        <f>($P$1*'Single Exponen'!C45)-('Konstanta a triple'!$P$1*'Double Exponen'!C45)+'triple exponen'!C45</f>
        <v>320482.05551999999</v>
      </c>
      <c r="D45" s="6">
        <f>($P$1*'Single Exponen'!D45)-('Konstanta a triple'!$P$1*'Double Exponen'!D45)+'triple exponen'!D45</f>
        <v>283972.22681599983</v>
      </c>
      <c r="E45" s="6">
        <f>($P$1*'Single Exponen'!E45)-('Konstanta a triple'!$P$1*'Double Exponen'!E45)+'triple exponen'!E45</f>
        <v>545350.69129279989</v>
      </c>
      <c r="F45" s="6">
        <f>($P$1*'Single Exponen'!F45)-('Konstanta a triple'!$P$1*'Double Exponen'!F45)+'triple exponen'!F45</f>
        <v>-89046.839967039763</v>
      </c>
      <c r="G45" s="6">
        <f>($P$1*'Single Exponen'!G45)-('Konstanta a triple'!$P$1*'Double Exponen'!G45)+'triple exponen'!G45</f>
        <v>214950.61473110382</v>
      </c>
      <c r="H45" s="6">
        <f>($P$1*'Single Exponen'!H45)-('Konstanta a triple'!$P$1*'Double Exponen'!H45)+'triple exponen'!H45</f>
        <v>471849.61730379181</v>
      </c>
      <c r="I45" s="6">
        <f>($P$1*'Single Exponen'!I45)-('Konstanta a triple'!$P$1*'Double Exponen'!I45)+'triple exponen'!I45</f>
        <v>624673.8020436744</v>
      </c>
      <c r="J45" s="6">
        <f>($P$1*'Single Exponen'!J45)-('Konstanta a triple'!$P$1*'Double Exponen'!J45)+'triple exponen'!J45</f>
        <v>645844.28330557956</v>
      </c>
      <c r="K45" s="6">
        <f>($P$1*'Single Exponen'!K45)-('Konstanta a triple'!$P$1*'Double Exponen'!K45)+'triple exponen'!K45</f>
        <v>666910.34186272009</v>
      </c>
      <c r="L45" s="6">
        <f>($P$1*'Single Exponen'!L45)-('Konstanta a triple'!$P$1*'Double Exponen'!L45)+'triple exponen'!L45</f>
        <v>559251.70509287657</v>
      </c>
      <c r="M45" s="6">
        <f>($P$1*'Single Exponen'!M45)-('Konstanta a triple'!$P$1*'Double Exponen'!M45)+'triple exponen'!M45</f>
        <v>417677.19983465259</v>
      </c>
    </row>
    <row r="46" spans="1:13" x14ac:dyDescent="0.3">
      <c r="A46" s="6" t="str">
        <f>A40</f>
        <v>Oil A 1000 LT</v>
      </c>
      <c r="B46" s="6">
        <f>($P$1*'Single Exponen'!B46)-('Konstanta a triple'!$P$1*'Double Exponen'!B46)+'triple exponen'!B46</f>
        <v>23458.3</v>
      </c>
      <c r="C46" s="6">
        <f>($P$1*'Single Exponen'!C46)-('Konstanta a triple'!$P$1*'Double Exponen'!C46)+'triple exponen'!C46</f>
        <v>65176.7592</v>
      </c>
      <c r="D46" s="6">
        <f>($P$1*'Single Exponen'!D46)-('Konstanta a triple'!$P$1*'Double Exponen'!D46)+'triple exponen'!D46</f>
        <v>40843.749760000006</v>
      </c>
      <c r="E46" s="6">
        <f>($P$1*'Single Exponen'!E46)-('Konstanta a triple'!$P$1*'Double Exponen'!E46)+'triple exponen'!E46</f>
        <v>59157.541808000009</v>
      </c>
      <c r="F46" s="6">
        <f>($P$1*'Single Exponen'!F46)-('Konstanta a triple'!$P$1*'Double Exponen'!F46)+'triple exponen'!F46</f>
        <v>26337.762177600012</v>
      </c>
      <c r="G46" s="6">
        <f>($P$1*'Single Exponen'!G46)-('Konstanta a triple'!$P$1*'Double Exponen'!G46)+'triple exponen'!G46</f>
        <v>94458.388299040002</v>
      </c>
      <c r="H46" s="6">
        <f>($P$1*'Single Exponen'!H46)-('Konstanta a triple'!$P$1*'Double Exponen'!H46)+'triple exponen'!H46</f>
        <v>162622.89862279996</v>
      </c>
      <c r="I46" s="6">
        <f>($P$1*'Single Exponen'!I46)-('Konstanta a triple'!$P$1*'Double Exponen'!I46)+'triple exponen'!I46</f>
        <v>102461.06352841758</v>
      </c>
      <c r="J46" s="6">
        <f>($P$1*'Single Exponen'!J46)-('Konstanta a triple'!$P$1*'Double Exponen'!J46)+'triple exponen'!J46</f>
        <v>-7328.6668834116863</v>
      </c>
      <c r="K46" s="6">
        <f>($P$1*'Single Exponen'!K46)-('Konstanta a triple'!$P$1*'Double Exponen'!K46)+'triple exponen'!K46</f>
        <v>3350.2903906185675</v>
      </c>
      <c r="L46" s="6">
        <f>($P$1*'Single Exponen'!L46)-('Konstanta a triple'!$P$1*'Double Exponen'!L46)+'triple exponen'!L46</f>
        <v>12814.40094819184</v>
      </c>
      <c r="M46" s="6">
        <f>($P$1*'Single Exponen'!M46)-('Konstanta a triple'!$P$1*'Double Exponen'!M46)+'triple exponen'!M46</f>
        <v>31181.382668599137</v>
      </c>
    </row>
    <row r="47" spans="1:13" x14ac:dyDescent="0.3">
      <c r="A47" s="6" t="str">
        <f>A41</f>
        <v>Oil B 20 LT</v>
      </c>
      <c r="B47" s="6">
        <f>($P$1*'Single Exponen'!B47)-('Konstanta a triple'!$P$1*'Double Exponen'!B47)+'triple exponen'!B47</f>
        <v>4698.6499999999996</v>
      </c>
      <c r="C47" s="6">
        <f>($P$1*'Single Exponen'!C47)-('Konstanta a triple'!$P$1*'Double Exponen'!C47)+'triple exponen'!C47</f>
        <v>13475.332399999999</v>
      </c>
      <c r="D47" s="6">
        <f>($P$1*'Single Exponen'!D47)-('Konstanta a triple'!$P$1*'Double Exponen'!D47)+'triple exponen'!D47</f>
        <v>13198.137120000003</v>
      </c>
      <c r="E47" s="6">
        <f>($P$1*'Single Exponen'!E47)-('Konstanta a triple'!$P$1*'Double Exponen'!E47)+'triple exponen'!E47</f>
        <v>9515.4597360000007</v>
      </c>
      <c r="F47" s="6">
        <f>($P$1*'Single Exponen'!F47)-('Konstanta a triple'!$P$1*'Double Exponen'!F47)+'triple exponen'!F47</f>
        <v>95697.952055199974</v>
      </c>
      <c r="G47" s="6">
        <f>($P$1*'Single Exponen'!G47)-('Konstanta a triple'!$P$1*'Double Exponen'!G47)+'triple exponen'!G47</f>
        <v>20896.201913680001</v>
      </c>
      <c r="H47" s="6">
        <f>($P$1*'Single Exponen'!H47)-('Konstanta a triple'!$P$1*'Double Exponen'!H47)+'triple exponen'!H47</f>
        <v>10161.520616200003</v>
      </c>
      <c r="I47" s="6">
        <f>($P$1*'Single Exponen'!I47)-('Konstanta a triple'!$P$1*'Double Exponen'!I47)+'triple exponen'!I47</f>
        <v>27172.438629575197</v>
      </c>
      <c r="J47" s="6">
        <f>($P$1*'Single Exponen'!J47)-('Konstanta a triple'!$P$1*'Double Exponen'!J47)+'triple exponen'!J47</f>
        <v>29518.355960860237</v>
      </c>
      <c r="K47" s="6">
        <f>($P$1*'Single Exponen'!K47)-('Konstanta a triple'!$P$1*'Double Exponen'!K47)+'triple exponen'!K47</f>
        <v>68819.098839471422</v>
      </c>
      <c r="L47" s="6">
        <f>($P$1*'Single Exponen'!L47)-('Konstanta a triple'!$P$1*'Double Exponen'!L47)+'triple exponen'!L47</f>
        <v>9483.3770976334654</v>
      </c>
      <c r="M47" s="6">
        <f>($P$1*'Single Exponen'!M47)-('Konstanta a triple'!$P$1*'Double Exponen'!M47)+'triple exponen'!M47</f>
        <v>2780.1740657259106</v>
      </c>
    </row>
    <row r="48" spans="1:13" x14ac:dyDescent="0.3">
      <c r="A48" s="6" t="str">
        <f>A42</f>
        <v>Oil B 200 LT</v>
      </c>
      <c r="B48" s="6">
        <f>($P$1*'Single Exponen'!B48)-('Konstanta a triple'!$P$1*'Double Exponen'!B48)+'triple exponen'!B48</f>
        <v>1033.08</v>
      </c>
      <c r="C48" s="6">
        <f>($P$1*'Single Exponen'!C48)-('Konstanta a triple'!$P$1*'Double Exponen'!C48)+'triple exponen'!C48</f>
        <v>55398.448640000002</v>
      </c>
      <c r="D48" s="6">
        <f>($P$1*'Single Exponen'!D48)-('Konstanta a triple'!$P$1*'Double Exponen'!D48)+'triple exponen'!D48</f>
        <v>49410.784671999994</v>
      </c>
      <c r="E48" s="6">
        <f>($P$1*'Single Exponen'!E48)-('Konstanta a triple'!$P$1*'Double Exponen'!E48)+'triple exponen'!E48</f>
        <v>44517.547337600008</v>
      </c>
      <c r="F48" s="6">
        <f>($P$1*'Single Exponen'!F48)-('Konstanta a triple'!$P$1*'Double Exponen'!F48)+'triple exponen'!F48</f>
        <v>59369.020061119998</v>
      </c>
      <c r="G48" s="6">
        <f>($P$1*'Single Exponen'!G48)-('Konstanta a triple'!$P$1*'Double Exponen'!G48)+'triple exponen'!G48</f>
        <v>38547.373952608003</v>
      </c>
      <c r="H48" s="6">
        <f>($P$1*'Single Exponen'!H48)-('Konstanta a triple'!$P$1*'Double Exponen'!H48)+'triple exponen'!H48</f>
        <v>112957.419098096</v>
      </c>
      <c r="I48" s="6">
        <f>($P$1*'Single Exponen'!I48)-('Konstanta a triple'!$P$1*'Double Exponen'!I48)+'triple exponen'!I48</f>
        <v>73913.253408681921</v>
      </c>
      <c r="J48" s="6">
        <f>($P$1*'Single Exponen'!J48)-('Konstanta a triple'!$P$1*'Double Exponen'!J48)+'triple exponen'!J48</f>
        <v>55902.744214341983</v>
      </c>
      <c r="K48" s="6">
        <f>($P$1*'Single Exponen'!K48)-('Konstanta a triple'!$P$1*'Double Exponen'!K48)+'triple exponen'!K48</f>
        <v>100654.13416270325</v>
      </c>
      <c r="L48" s="6">
        <f>($P$1*'Single Exponen'!L48)-('Konstanta a triple'!$P$1*'Double Exponen'!L48)+'triple exponen'!L48</f>
        <v>102610.48664849</v>
      </c>
      <c r="M48" s="6">
        <f>($P$1*'Single Exponen'!M48)-('Konstanta a triple'!$P$1*'Double Exponen'!M48)+'triple exponen'!M48</f>
        <v>82625.659209671983</v>
      </c>
    </row>
    <row r="49" spans="1:13" x14ac:dyDescent="0.3">
      <c r="A49" s="6">
        <f>A43+0.1</f>
        <v>0.89999999999999991</v>
      </c>
      <c r="B49" s="6" t="str">
        <f>B43</f>
        <v>T1</v>
      </c>
      <c r="C49" s="6" t="str">
        <f t="shared" ref="C49:M49" si="7">C43</f>
        <v>T2</v>
      </c>
      <c r="D49" s="6" t="str">
        <f t="shared" si="7"/>
        <v>T3</v>
      </c>
      <c r="E49" s="6" t="str">
        <f t="shared" si="7"/>
        <v>T4</v>
      </c>
      <c r="F49" s="6" t="str">
        <f t="shared" si="7"/>
        <v>T5</v>
      </c>
      <c r="G49" s="6" t="str">
        <f t="shared" si="7"/>
        <v>T6</v>
      </c>
      <c r="H49" s="6" t="str">
        <f t="shared" si="7"/>
        <v>T7</v>
      </c>
      <c r="I49" s="6" t="str">
        <f t="shared" si="7"/>
        <v>T8</v>
      </c>
      <c r="J49" s="6" t="str">
        <f t="shared" si="7"/>
        <v>T9</v>
      </c>
      <c r="K49" s="6" t="str">
        <f t="shared" si="7"/>
        <v>T10</v>
      </c>
      <c r="L49" s="6" t="str">
        <f t="shared" si="7"/>
        <v>T11</v>
      </c>
      <c r="M49" s="6" t="str">
        <f t="shared" si="7"/>
        <v>T12</v>
      </c>
    </row>
    <row r="50" spans="1:13" x14ac:dyDescent="0.3">
      <c r="A50" s="6" t="str">
        <f>A44</f>
        <v>Oil A 20 LT</v>
      </c>
      <c r="B50" s="6">
        <f>($P$1*'Single Exponen'!B50)-('Konstanta a triple'!$P$1*'Double Exponen'!B50)+'triple exponen'!B50</f>
        <v>12588.09</v>
      </c>
      <c r="C50" s="6">
        <f>($P$1*'Single Exponen'!C50)-('Konstanta a triple'!$P$1*'Double Exponen'!C50)+'triple exponen'!C50</f>
        <v>-6993.5417400000024</v>
      </c>
      <c r="D50" s="6">
        <f>($P$1*'Single Exponen'!D50)-('Konstanta a triple'!$P$1*'Double Exponen'!D50)+'triple exponen'!D50</f>
        <v>33080.448155999984</v>
      </c>
      <c r="E50" s="6">
        <f>($P$1*'Single Exponen'!E50)-('Konstanta a triple'!$P$1*'Double Exponen'!E50)+'triple exponen'!E50</f>
        <v>10666.933312199992</v>
      </c>
      <c r="F50" s="6">
        <f>($P$1*'Single Exponen'!F50)-('Konstanta a triple'!$P$1*'Double Exponen'!F50)+'triple exponen'!F50</f>
        <v>3660.988188119989</v>
      </c>
      <c r="G50" s="6">
        <f>($P$1*'Single Exponen'!G50)-('Konstanta a triple'!$P$1*'Double Exponen'!G50)+'triple exponen'!G50</f>
        <v>1236.3692010179948</v>
      </c>
      <c r="H50" s="6">
        <f>($P$1*'Single Exponen'!H50)-('Konstanta a triple'!$P$1*'Double Exponen'!H50)+'triple exponen'!H50</f>
        <v>26955.618265186804</v>
      </c>
      <c r="I50" s="6">
        <f>($P$1*'Single Exponen'!I50)-('Konstanta a triple'!$P$1*'Double Exponen'!I50)+'triple exponen'!I50</f>
        <v>10348.038597205139</v>
      </c>
      <c r="J50" s="6">
        <f>($P$1*'Single Exponen'!J50)-('Konstanta a triple'!$P$1*'Double Exponen'!J50)+'triple exponen'!J50</f>
        <v>8532.1249193493113</v>
      </c>
      <c r="K50" s="6">
        <f>($P$1*'Single Exponen'!K50)-('Konstanta a triple'!$P$1*'Double Exponen'!K50)+'triple exponen'!K50</f>
        <v>2346.2204722019542</v>
      </c>
      <c r="L50" s="6">
        <f>($P$1*'Single Exponen'!L50)-('Konstanta a triple'!$P$1*'Double Exponen'!L50)+'triple exponen'!L50</f>
        <v>26803.409412120618</v>
      </c>
      <c r="M50" s="6">
        <f>($P$1*'Single Exponen'!M50)-('Konstanta a triple'!$P$1*'Double Exponen'!M50)+'triple exponen'!M50</f>
        <v>12537.11614788845</v>
      </c>
    </row>
    <row r="51" spans="1:13" x14ac:dyDescent="0.3">
      <c r="A51" s="6" t="str">
        <f>A45</f>
        <v>Oil A 200 LT</v>
      </c>
      <c r="B51" s="6">
        <f>($P$1*'Single Exponen'!B51)-('Konstanta a triple'!$P$1*'Double Exponen'!B51)+'triple exponen'!B51</f>
        <v>459915.78</v>
      </c>
      <c r="C51" s="6">
        <f>($P$1*'Single Exponen'!C51)-('Konstanta a triple'!$P$1*'Double Exponen'!C51)+'triple exponen'!C51</f>
        <v>302488.5847799998</v>
      </c>
      <c r="D51" s="6">
        <f>($P$1*'Single Exponen'!D51)-('Konstanta a triple'!$P$1*'Double Exponen'!D51)+'triple exponen'!D51</f>
        <v>276860.20891799999</v>
      </c>
      <c r="E51" s="6">
        <f>($P$1*'Single Exponen'!E51)-('Konstanta a triple'!$P$1*'Double Exponen'!E51)+'triple exponen'!E51</f>
        <v>577626.68696159986</v>
      </c>
      <c r="F51" s="6">
        <f>($P$1*'Single Exponen'!F51)-('Konstanta a triple'!$P$1*'Double Exponen'!F51)+'triple exponen'!F51</f>
        <v>-167277.44855363993</v>
      </c>
      <c r="G51" s="6">
        <f>($P$1*'Single Exponen'!G51)-('Konstanta a triple'!$P$1*'Double Exponen'!G51)+'triple exponen'!G51</f>
        <v>244026.94670855359</v>
      </c>
      <c r="H51" s="6">
        <f>($P$1*'Single Exponen'!H51)-('Konstanta a triple'!$P$1*'Double Exponen'!H51)+'triple exponen'!H51</f>
        <v>506947.77880725526</v>
      </c>
      <c r="I51" s="6">
        <f>($P$1*'Single Exponen'!I51)-('Konstanta a triple'!$P$1*'Double Exponen'!I51)+'triple exponen'!I51</f>
        <v>648096.09499637282</v>
      </c>
      <c r="J51" s="6">
        <f>($P$1*'Single Exponen'!J51)-('Konstanta a triple'!$P$1*'Double Exponen'!J51)+'triple exponen'!J51</f>
        <v>651773.48170300864</v>
      </c>
      <c r="K51" s="6">
        <f>($P$1*'Single Exponen'!K51)-('Konstanta a triple'!$P$1*'Double Exponen'!K51)+'triple exponen'!K51</f>
        <v>671144.95427326381</v>
      </c>
      <c r="L51" s="6">
        <f>($P$1*'Single Exponen'!L51)-('Konstanta a triple'!$P$1*'Double Exponen'!L51)+'triple exponen'!L51</f>
        <v>546764.63461198588</v>
      </c>
      <c r="M51" s="6">
        <f>($P$1*'Single Exponen'!M51)-('Konstanta a triple'!$P$1*'Double Exponen'!M51)+'triple exponen'!M51</f>
        <v>398642.70883659122</v>
      </c>
    </row>
    <row r="52" spans="1:13" x14ac:dyDescent="0.3">
      <c r="A52" s="6" t="str">
        <f>A46</f>
        <v>Oil A 1000 LT</v>
      </c>
      <c r="B52" s="6">
        <f>($P$1*'Single Exponen'!B52)-('Konstanta a triple'!$P$1*'Double Exponen'!B52)+'triple exponen'!B52</f>
        <v>23458.3</v>
      </c>
      <c r="C52" s="6">
        <f>($P$1*'Single Exponen'!C52)-('Konstanta a triple'!$P$1*'Double Exponen'!C52)+'triple exponen'!C52</f>
        <v>70560.391299999988</v>
      </c>
      <c r="D52" s="6">
        <f>($P$1*'Single Exponen'!D52)-('Konstanta a triple'!$P$1*'Double Exponen'!D52)+'triple exponen'!D52</f>
        <v>38421.894130000001</v>
      </c>
      <c r="E52" s="6">
        <f>($P$1*'Single Exponen'!E52)-('Konstanta a triple'!$P$1*'Double Exponen'!E52)+'triple exponen'!E52</f>
        <v>61348.934896000021</v>
      </c>
      <c r="F52" s="6">
        <f>($P$1*'Single Exponen'!F52)-('Konstanta a triple'!$P$1*'Double Exponen'!F52)+'triple exponen'!F52</f>
        <v>22467.447622600004</v>
      </c>
      <c r="G52" s="6">
        <f>($P$1*'Single Exponen'!G52)-('Konstanta a triple'!$P$1*'Double Exponen'!G52)+'triple exponen'!G52</f>
        <v>102861.85760179</v>
      </c>
      <c r="H52" s="6">
        <f>($P$1*'Single Exponen'!H52)-('Konstanta a triple'!$P$1*'Double Exponen'!H52)+'triple exponen'!H52</f>
        <v>172551.81752773898</v>
      </c>
      <c r="I52" s="6">
        <f>($P$1*'Single Exponen'!I52)-('Konstanta a triple'!$P$1*'Double Exponen'!I52)+'triple exponen'!I52</f>
        <v>96268.546164776169</v>
      </c>
      <c r="J52" s="6">
        <f>($P$1*'Single Exponen'!J52)-('Konstanta a triple'!$P$1*'Double Exponen'!J52)+'triple exponen'!J52</f>
        <v>-21814.713830600471</v>
      </c>
      <c r="K52" s="6">
        <f>($P$1*'Single Exponen'!K52)-('Konstanta a triple'!$P$1*'Double Exponen'!K52)+'triple exponen'!K52</f>
        <v>3094.5414727816242</v>
      </c>
      <c r="L52" s="6">
        <f>($P$1*'Single Exponen'!L52)-('Konstanta a triple'!$P$1*'Double Exponen'!L52)+'triple exponen'!L52</f>
        <v>13872.753263356892</v>
      </c>
      <c r="M52" s="6">
        <f>($P$1*'Single Exponen'!M52)-('Konstanta a triple'!$P$1*'Double Exponen'!M52)+'triple exponen'!M52</f>
        <v>33565.724185388637</v>
      </c>
    </row>
    <row r="53" spans="1:13" x14ac:dyDescent="0.3">
      <c r="A53" s="6" t="str">
        <f>A47</f>
        <v>Oil B 20 LT</v>
      </c>
      <c r="B53" s="6">
        <f>($P$1*'Single Exponen'!B53)-('Konstanta a triple'!$P$1*'Double Exponen'!B53)+'triple exponen'!B53</f>
        <v>4698.6499999999996</v>
      </c>
      <c r="C53" s="6">
        <f>($P$1*'Single Exponen'!C53)-('Konstanta a triple'!$P$1*'Double Exponen'!C53)+'triple exponen'!C53</f>
        <v>14607.934850000001</v>
      </c>
      <c r="D53" s="6">
        <f>($P$1*'Single Exponen'!D53)-('Konstanta a triple'!$P$1*'Double Exponen'!D53)+'triple exponen'!D53</f>
        <v>13313.468585000001</v>
      </c>
      <c r="E53" s="6">
        <f>($P$1*'Single Exponen'!E53)-('Konstanta a triple'!$P$1*'Double Exponen'!E53)+'triple exponen'!E53</f>
        <v>9087.409982000001</v>
      </c>
      <c r="F53" s="6">
        <f>($P$1*'Single Exponen'!F53)-('Konstanta a triple'!$P$1*'Double Exponen'!F53)+'triple exponen'!F53</f>
        <v>106795.2374327</v>
      </c>
      <c r="G53" s="6">
        <f>($P$1*'Single Exponen'!G53)-('Konstanta a triple'!$P$1*'Double Exponen'!G53)+'triple exponen'!G53</f>
        <v>12742.297996655016</v>
      </c>
      <c r="H53" s="6">
        <f>($P$1*'Single Exponen'!H53)-('Konstanta a triple'!$P$1*'Double Exponen'!H53)+'triple exponen'!H53</f>
        <v>8017.223523945504</v>
      </c>
      <c r="I53" s="6">
        <f>($P$1*'Single Exponen'!I53)-('Konstanta a triple'!$P$1*'Double Exponen'!I53)+'triple exponen'!I53</f>
        <v>29158.485423869897</v>
      </c>
      <c r="J53" s="6">
        <f>($P$1*'Single Exponen'!J53)-('Konstanta a triple'!$P$1*'Double Exponen'!J53)+'triple exponen'!J53</f>
        <v>30097.375708677137</v>
      </c>
      <c r="K53" s="6">
        <f>($P$1*'Single Exponen'!K53)-('Konstanta a triple'!$P$1*'Double Exponen'!K53)+'triple exponen'!K53</f>
        <v>74034.271260725072</v>
      </c>
      <c r="L53" s="6">
        <f>($P$1*'Single Exponen'!L53)-('Konstanta a triple'!$P$1*'Double Exponen'!L53)+'triple exponen'!L53</f>
        <v>2599.9811709637652</v>
      </c>
      <c r="M53" s="6">
        <f>($P$1*'Single Exponen'!M53)-('Konstanta a triple'!$P$1*'Double Exponen'!M53)+'triple exponen'!M53</f>
        <v>1215.7324699004603</v>
      </c>
    </row>
    <row r="54" spans="1:13" x14ac:dyDescent="0.3">
      <c r="A54" s="6" t="str">
        <f>A48</f>
        <v>Oil B 200 LT</v>
      </c>
      <c r="B54" s="6">
        <f>($P$1*'Single Exponen'!B54)-('Konstanta a triple'!$P$1*'Double Exponen'!B54)+'triple exponen'!B54</f>
        <v>1033.08</v>
      </c>
      <c r="C54" s="6">
        <f>($P$1*'Single Exponen'!C54)-('Konstanta a triple'!$P$1*'Double Exponen'!C54)+'triple exponen'!C54</f>
        <v>62414.123459999995</v>
      </c>
      <c r="D54" s="6">
        <f>($P$1*'Single Exponen'!D54)-('Konstanta a triple'!$P$1*'Double Exponen'!D54)+'triple exponen'!D54</f>
        <v>49574.070366</v>
      </c>
      <c r="E54" s="6">
        <f>($P$1*'Single Exponen'!E54)-('Konstanta a triple'!$P$1*'Double Exponen'!E54)+'triple exponen'!E54</f>
        <v>44104.861525200009</v>
      </c>
      <c r="F54" s="6">
        <f>($P$1*'Single Exponen'!F54)-('Konstanta a triple'!$P$1*'Double Exponen'!F54)+'triple exponen'!F54</f>
        <v>61418.324179319985</v>
      </c>
      <c r="G54" s="6">
        <f>($P$1*'Single Exponen'!G54)-('Konstanta a triple'!$P$1*'Double Exponen'!G54)+'triple exponen'!G54</f>
        <v>36296.932630758005</v>
      </c>
      <c r="H54" s="6">
        <f>($P$1*'Single Exponen'!H54)-('Konstanta a triple'!$P$1*'Double Exponen'!H54)+'triple exponen'!H54</f>
        <v>122468.82832348975</v>
      </c>
      <c r="I54" s="6">
        <f>($P$1*'Single Exponen'!I54)-('Konstanta a triple'!$P$1*'Double Exponen'!I54)+'triple exponen'!I54</f>
        <v>70275.133683608641</v>
      </c>
      <c r="J54" s="6">
        <f>($P$1*'Single Exponen'!J54)-('Konstanta a triple'!$P$1*'Double Exponen'!J54)+'triple exponen'!J54</f>
        <v>53482.521204183256</v>
      </c>
      <c r="K54" s="6">
        <f>($P$1*'Single Exponen'!K54)-('Konstanta a triple'!$P$1*'Double Exponen'!K54)+'triple exponen'!K54</f>
        <v>106366.28601962735</v>
      </c>
      <c r="L54" s="6">
        <f>($P$1*'Single Exponen'!L54)-('Konstanta a triple'!$P$1*'Double Exponen'!L54)+'triple exponen'!L54</f>
        <v>103798.91189594773</v>
      </c>
      <c r="M54" s="6">
        <f>($P$1*'Single Exponen'!M54)-('Konstanta a triple'!$P$1*'Double Exponen'!M54)+'triple exponen'!M54</f>
        <v>80527.360992650938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94DD9-079B-447E-A1F4-A1ACF59DD667}">
  <dimension ref="A1:X54"/>
  <sheetViews>
    <sheetView topLeftCell="A4" workbookViewId="0">
      <selection activeCell="A126" activeCellId="26" sqref="A2:M9 A13:M18 A21:M21 A23:M30 A34:M39 A42:M42 A44:M51 A55:M60 A63:M63 A65:M72 A76:M81 A84:M84 A86:M93 A97:M102 A105:M105 A107:M114 A118:M123 A128:M135 A139:M144 A147:M147 A149:M156 A160:M165 A168:M168 A170:M177 A181:M186 A189:M189 A126:M126"/>
    </sheetView>
  </sheetViews>
  <sheetFormatPr defaultColWidth="8.88671875" defaultRowHeight="14.4" x14ac:dyDescent="0.3"/>
  <cols>
    <col min="1" max="1" width="14.33203125" style="6" bestFit="1" customWidth="1"/>
    <col min="2" max="3" width="12.33203125" style="6" bestFit="1" customWidth="1"/>
    <col min="4" max="4" width="11.109375" style="6" bestFit="1" customWidth="1"/>
    <col min="5" max="5" width="10.44140625" style="6" bestFit="1" customWidth="1"/>
    <col min="6" max="6" width="12.109375" style="6" bestFit="1" customWidth="1"/>
    <col min="7" max="11" width="11.109375" style="6" bestFit="1" customWidth="1"/>
    <col min="12" max="12" width="10.44140625" style="6" bestFit="1" customWidth="1"/>
    <col min="13" max="13" width="11.109375" style="6" bestFit="1" customWidth="1"/>
    <col min="14" max="15" width="8.88671875" style="6"/>
    <col min="16" max="24" width="9.109375" style="6" bestFit="1" customWidth="1"/>
    <col min="25" max="16384" width="8.88671875" style="6"/>
  </cols>
  <sheetData>
    <row r="1" spans="1:24" x14ac:dyDescent="0.3">
      <c r="A1" s="7">
        <f>'Konstanta a triple'!A1</f>
        <v>0.1</v>
      </c>
      <c r="B1" s="7" t="str">
        <f>'Konstanta a triple'!B1</f>
        <v>T1</v>
      </c>
      <c r="C1" s="7" t="str">
        <f>'Konstanta a triple'!C1</f>
        <v>T2</v>
      </c>
      <c r="D1" s="7" t="str">
        <f>'Konstanta a triple'!D1</f>
        <v>T3</v>
      </c>
      <c r="E1" s="7" t="str">
        <f>'Konstanta a triple'!E1</f>
        <v>T4</v>
      </c>
      <c r="F1" s="7" t="str">
        <f>'Konstanta a triple'!F1</f>
        <v>T5</v>
      </c>
      <c r="G1" s="7" t="str">
        <f>'Konstanta a triple'!G1</f>
        <v>T6</v>
      </c>
      <c r="H1" s="7" t="str">
        <f>'Konstanta a triple'!H1</f>
        <v>T7</v>
      </c>
      <c r="I1" s="7" t="str">
        <f>'Konstanta a triple'!I1</f>
        <v>T8</v>
      </c>
      <c r="J1" s="7" t="str">
        <f>'Konstanta a triple'!J1</f>
        <v>T9</v>
      </c>
      <c r="K1" s="7" t="str">
        <f>'Konstanta a triple'!K1</f>
        <v>T10</v>
      </c>
      <c r="L1" s="7" t="str">
        <f>'Konstanta a triple'!L1</f>
        <v>T11</v>
      </c>
      <c r="M1" s="7" t="str">
        <f>'Konstanta a triple'!M1</f>
        <v>T12</v>
      </c>
      <c r="P1" s="6">
        <f>0.1/(2*(0.9)^2)</f>
        <v>6.1728395061728392E-2</v>
      </c>
      <c r="Q1" s="6">
        <f>0.2/(2*(0.8)^2)</f>
        <v>0.15624999999999997</v>
      </c>
      <c r="R1" s="6">
        <f>0.3/(2*(0.7)^2)</f>
        <v>0.30612244897959184</v>
      </c>
      <c r="S1" s="6">
        <f>0.4/(2*(0.6)^2)</f>
        <v>0.55555555555555558</v>
      </c>
      <c r="T1" s="6">
        <f>0.5/(2*(0.5)^2)</f>
        <v>1</v>
      </c>
      <c r="U1" s="6">
        <f>0.6/(2*(0.4)^2)</f>
        <v>1.8749999999999996</v>
      </c>
      <c r="V1" s="6">
        <f>0.7/(2*(0.3)^2)</f>
        <v>3.8888888888888888</v>
      </c>
      <c r="W1" s="6">
        <f>0.8/(2*(0.2)^2)</f>
        <v>9.9999999999999982</v>
      </c>
      <c r="X1" s="6">
        <f>0.9/(2*(0.1)^2)</f>
        <v>44.999999999999993</v>
      </c>
    </row>
    <row r="2" spans="1:24" x14ac:dyDescent="0.3">
      <c r="A2" s="7" t="str">
        <f>'Konstanta a triple'!A2</f>
        <v>Oil A 20 LT</v>
      </c>
      <c r="B2" s="7">
        <f>$P$1*(($P$2*'Single Exponen'!B2)-('Konstanta b triple'!$P$3*'Double Exponen'!B2)+'Konstanta b triple'!$P$4*'triple exponen'!B2)</f>
        <v>8.9826637212141056E-13</v>
      </c>
      <c r="C2" s="7">
        <f>$P$1*(($P$2*'Single Exponen'!C2)-('Konstanta b triple'!$P$3*'Double Exponen'!C2)+'Konstanta b triple'!$P$4*'triple exponen'!C2)</f>
        <v>-222.25268999999963</v>
      </c>
      <c r="D2" s="7">
        <f>$P$1*(($P$2*'Single Exponen'!D2)-('Konstanta b triple'!$P$3*'Double Exponen'!D2)+'Konstanta b triple'!$P$4*'triple exponen'!D2)</f>
        <v>77.100652000001077</v>
      </c>
      <c r="E2" s="7">
        <f>$P$1*(($P$2*'Single Exponen'!E2)-('Konstanta b triple'!$P$3*'Double Exponen'!E2)+'Konstanta b triple'!$P$4*'triple exponen'!E2)</f>
        <v>18.894527100000467</v>
      </c>
      <c r="F2" s="7">
        <f>$P$1*(($P$2*'Single Exponen'!F2)-('Konstanta b triple'!$P$3*'Double Exponen'!F2)+'Konstanta b triple'!$P$4*'triple exponen'!F2)</f>
        <v>-82.578982199999615</v>
      </c>
      <c r="G2" s="7">
        <f>$P$1*(($P$2*'Single Exponen'!G2)-('Konstanta b triple'!$P$3*'Double Exponen'!G2)+'Konstanta b triple'!$P$4*'triple exponen'!G2)</f>
        <v>-183.46810248499949</v>
      </c>
      <c r="H2" s="7">
        <f>$P$1*(($P$2*'Single Exponen'!H2)-('Konstanta b triple'!$P$3*'Double Exponen'!H2)+'Konstanta b triple'!$P$4*'triple exponen'!H2)</f>
        <v>31.391550292400893</v>
      </c>
      <c r="I2" s="7">
        <f>$P$1*(($P$2*'Single Exponen'!I2)-('Konstanta b triple'!$P$3*'Double Exponen'!I2)+'Konstanta b triple'!$P$4*'triple exponen'!I2)</f>
        <v>-12.607023195769328</v>
      </c>
      <c r="J2" s="7">
        <f>$P$1*(($P$2*'Single Exponen'!J2)-('Konstanta b triple'!$P$3*'Double Exponen'!J2)+'Konstanta b triple'!$P$4*'triple exponen'!J2)</f>
        <v>-49.920081550676343</v>
      </c>
      <c r="K2" s="7">
        <f>$P$1*(($P$2*'Single Exponen'!K2)-('Konstanta b triple'!$P$3*'Double Exponen'!K2)+'Konstanta b triple'!$P$4*'triple exponen'!K2)</f>
        <v>-147.77012365794408</v>
      </c>
      <c r="L2" s="7">
        <f>$P$1*(($P$2*'Single Exponen'!L2)-('Konstanta b triple'!$P$3*'Double Exponen'!L2)+'Konstanta b triple'!$P$4*'triple exponen'!L2)</f>
        <v>59.117104381976439</v>
      </c>
      <c r="M2" s="7">
        <f>$P$1*(($P$2*'Single Exponen'!M2)-('Konstanta b triple'!$P$3*'Double Exponen'!M2)+'Konstanta b triple'!$P$4*'triple exponen'!M2)</f>
        <v>36.386607869698096</v>
      </c>
      <c r="P2" s="6">
        <f>6-5*0.1</f>
        <v>5.5</v>
      </c>
      <c r="Q2" s="6">
        <f>6-5*0.2</f>
        <v>5</v>
      </c>
      <c r="R2" s="6">
        <f>6-5*0.3</f>
        <v>4.5</v>
      </c>
      <c r="S2" s="6">
        <f>6-5*0.4</f>
        <v>4</v>
      </c>
      <c r="T2" s="6">
        <f>6-5*0.5</f>
        <v>3.5</v>
      </c>
      <c r="U2" s="6">
        <f>6-5*0.6</f>
        <v>3</v>
      </c>
      <c r="V2" s="6">
        <f>6-5*0.7</f>
        <v>2.5</v>
      </c>
      <c r="W2" s="6">
        <f>6-5*0.8</f>
        <v>2</v>
      </c>
      <c r="X2" s="6">
        <f>6-5*0.9</f>
        <v>1.5</v>
      </c>
    </row>
    <row r="3" spans="1:24" x14ac:dyDescent="0.3">
      <c r="A3" s="7" t="str">
        <f>'Konstanta a triple'!A3</f>
        <v>Oil A 200 LT</v>
      </c>
      <c r="B3" s="7">
        <f>$P$1*(($P$2*'Single Exponen'!B3)-('Konstanta b triple'!$P$3*'Double Exponen'!B3)+'Konstanta b triple'!$P$4*'triple exponen'!B3)</f>
        <v>1.4372261953942569E-11</v>
      </c>
      <c r="C3" s="7">
        <f>$P$1*(($P$2*'Single Exponen'!C3)-('Konstanta b triple'!$P$3*'Double Exponen'!C3)+'Konstanta b triple'!$P$4*'triple exponen'!C3)</f>
        <v>-1786.8080700000023</v>
      </c>
      <c r="D3" s="7">
        <f>$P$1*(($P$2*'Single Exponen'!D3)-('Konstanta b triple'!$P$3*'Double Exponen'!D3)+'Konstanta b triple'!$P$4*'triple exponen'!D3)</f>
        <v>-3327.7494690000267</v>
      </c>
      <c r="E3" s="7">
        <f>$P$1*(($P$2*'Single Exponen'!E3)-('Konstanta b triple'!$P$3*'Double Exponen'!E3)+'Konstanta b triple'!$P$4*'triple exponen'!E3)</f>
        <v>-1098.5250861999825</v>
      </c>
      <c r="F3" s="7">
        <f>$P$1*(($P$2*'Single Exponen'!F3)-('Konstanta b triple'!$P$3*'Double Exponen'!F3)+'Konstanta b triple'!$P$4*'triple exponen'!F3)</f>
        <v>-8077.9592260999607</v>
      </c>
      <c r="G3" s="7">
        <f>$P$1*(($P$2*'Single Exponen'!G3)-('Konstanta b triple'!$P$3*'Double Exponen'!G3)+'Konstanta b triple'!$P$4*'triple exponen'!G3)</f>
        <v>-8134.3507439049854</v>
      </c>
      <c r="H3" s="7">
        <f>$P$1*(($P$2*'Single Exponen'!H3)-('Konstanta b triple'!$P$3*'Double Exponen'!H3)+'Konstanta b triple'!$P$4*'triple exponen'!H3)</f>
        <v>-5578.5208469602985</v>
      </c>
      <c r="I3" s="7">
        <f>$P$1*(($P$2*'Single Exponen'!I3)-('Konstanta b triple'!$P$3*'Double Exponen'!I3)+'Konstanta b triple'!$P$4*'triple exponen'!I3)</f>
        <v>-2148.663324930541</v>
      </c>
      <c r="J3" s="7">
        <f>$P$1*(($P$2*'Single Exponen'!J3)-('Konstanta b triple'!$P$3*'Double Exponen'!J3)+'Konstanta b triple'!$P$4*'triple exponen'!J3)</f>
        <v>531.27922849427841</v>
      </c>
      <c r="K3" s="7">
        <f>$P$1*(($P$2*'Single Exponen'!K3)-('Konstanta b triple'!$P$3*'Double Exponen'!K3)+'Konstanta b triple'!$P$4*'triple exponen'!K3)</f>
        <v>2910.7251590817309</v>
      </c>
      <c r="L3" s="7">
        <f>$P$1*(($P$2*'Single Exponen'!L3)-('Konstanta b triple'!$P$3*'Double Exponen'!L3)+'Konstanta b triple'!$P$4*'triple exponen'!L3)</f>
        <v>3373.5314404052383</v>
      </c>
      <c r="M3" s="7">
        <f>$P$1*(($P$2*'Single Exponen'!M3)-('Konstanta b triple'!$P$3*'Double Exponen'!M3)+'Konstanta b triple'!$P$4*'triple exponen'!M3)</f>
        <v>2173.4809400978133</v>
      </c>
      <c r="P3" s="6">
        <f>10-8*0.1</f>
        <v>9.1999999999999993</v>
      </c>
      <c r="Q3" s="6">
        <f>10-8*0.2</f>
        <v>8.4</v>
      </c>
      <c r="R3" s="6">
        <f>10-8*0.3</f>
        <v>7.6</v>
      </c>
      <c r="S3" s="6">
        <f>10-8*0.4</f>
        <v>6.8</v>
      </c>
      <c r="T3" s="6">
        <f>10-8*0.5</f>
        <v>6</v>
      </c>
      <c r="U3" s="6">
        <f>10-8*0.6</f>
        <v>5.2</v>
      </c>
      <c r="V3" s="6">
        <f>10-8*0.7</f>
        <v>4.4000000000000004</v>
      </c>
      <c r="W3" s="6">
        <f>10-8*0.8</f>
        <v>3.5999999999999996</v>
      </c>
      <c r="X3" s="6">
        <f>10-8*0.9</f>
        <v>2.8</v>
      </c>
    </row>
    <row r="4" spans="1:24" x14ac:dyDescent="0.3">
      <c r="A4" s="7" t="str">
        <f>'Konstanta a triple'!A4</f>
        <v>Oil A 1000 LT</v>
      </c>
      <c r="B4" s="7">
        <f>$P$1*(($P$2*'Single Exponen'!B4)-('Konstanta b triple'!$P$3*'Double Exponen'!B4)+'Konstanta b triple'!$P$4*'triple exponen'!B4)</f>
        <v>8.9826637212141056E-13</v>
      </c>
      <c r="C4" s="7">
        <f>$P$1*(($P$2*'Single Exponen'!C4)-('Konstanta b triple'!$P$3*'Double Exponen'!C4)+'Konstanta b triple'!$P$4*'triple exponen'!C4)</f>
        <v>534.6115500000011</v>
      </c>
      <c r="D4" s="7">
        <f>$P$1*(($P$2*'Single Exponen'!D4)-('Konstanta b triple'!$P$3*'Double Exponen'!D4)+'Konstanta b triple'!$P$4*'triple exponen'!D4)</f>
        <v>543.85398499999997</v>
      </c>
      <c r="E4" s="7">
        <f>$P$1*(($P$2*'Single Exponen'!E4)-('Konstanta b triple'!$P$3*'Double Exponen'!E4)+'Konstanta b triple'!$P$4*'triple exponen'!E4)</f>
        <v>842.39144300000055</v>
      </c>
      <c r="F4" s="7">
        <f>$P$1*(($P$2*'Single Exponen'!F4)-('Konstanta b triple'!$P$3*'Double Exponen'!F4)+'Konstanta b triple'!$P$4*'triple exponen'!F4)</f>
        <v>608.24998249999749</v>
      </c>
      <c r="G4" s="7">
        <f>$P$1*(($P$2*'Single Exponen'!G4)-('Konstanta b triple'!$P$3*'Double Exponen'!G4)+'Konstanta b triple'!$P$4*'triple exponen'!G4)</f>
        <v>1369.0301013249987</v>
      </c>
      <c r="H4" s="7">
        <f>$P$1*(($P$2*'Single Exponen'!H4)-('Konstanta b triple'!$P$3*'Double Exponen'!H4)+'Konstanta b triple'!$P$4*'triple exponen'!H4)</f>
        <v>2670.9807280495011</v>
      </c>
      <c r="I4" s="7">
        <f>$P$1*(($P$2*'Single Exponen'!I4)-('Konstanta b triple'!$P$3*'Double Exponen'!I4)+'Konstanta b triple'!$P$4*'triple exponen'!I4)</f>
        <v>2753.0448067563998</v>
      </c>
      <c r="J4" s="7">
        <f>$P$1*(($P$2*'Single Exponen'!J4)-('Konstanta b triple'!$P$3*'Double Exponen'!J4)+'Konstanta b triple'!$P$4*'triple exponen'!J4)</f>
        <v>1537.5790529479207</v>
      </c>
      <c r="K4" s="7">
        <f>$P$1*(($P$2*'Single Exponen'!K4)-('Konstanta b triple'!$P$3*'Double Exponen'!K4)+'Konstanta b triple'!$P$4*'triple exponen'!K4)</f>
        <v>954.48801328941977</v>
      </c>
      <c r="L4" s="7">
        <f>$P$1*(($P$2*'Single Exponen'!L4)-('Konstanta b triple'!$P$3*'Double Exponen'!L4)+'Konstanta b triple'!$P$4*'triple exponen'!L4)</f>
        <v>567.03105134339739</v>
      </c>
      <c r="M4" s="7">
        <f>$P$1*(($P$2*'Single Exponen'!M4)-('Konstanta b triple'!$P$3*'Double Exponen'!M4)+'Konstanta b triple'!$P$4*'triple exponen'!M4)</f>
        <v>458.99394593292118</v>
      </c>
      <c r="P4" s="6">
        <f>4-3*0.1</f>
        <v>3.7</v>
      </c>
      <c r="Q4" s="6">
        <f>4-3*0.2</f>
        <v>3.4</v>
      </c>
      <c r="R4" s="6">
        <f>4-3*0.3</f>
        <v>3.1</v>
      </c>
      <c r="S4" s="6">
        <f>4-3*0.4</f>
        <v>2.8</v>
      </c>
      <c r="T4" s="6">
        <f>4-3*0.5</f>
        <v>2.5</v>
      </c>
      <c r="U4" s="6">
        <f>4-3*0.6</f>
        <v>2.2000000000000002</v>
      </c>
      <c r="V4" s="6">
        <f>4-3*0.7</f>
        <v>1.9000000000000004</v>
      </c>
      <c r="W4" s="6">
        <f>4-3*0.8</f>
        <v>1.5999999999999996</v>
      </c>
      <c r="X4" s="6">
        <f>4-3*0.9</f>
        <v>1.2999999999999998</v>
      </c>
    </row>
    <row r="5" spans="1:24" x14ac:dyDescent="0.3">
      <c r="A5" s="7" t="str">
        <f>'Konstanta a triple'!A5</f>
        <v>Oil B 20 LT</v>
      </c>
      <c r="B5" s="7">
        <f>$P$1*(($P$2*'Single Exponen'!B5)-('Konstanta b triple'!$P$3*'Double Exponen'!B5)+'Konstanta b triple'!$P$4*'triple exponen'!B5)</f>
        <v>2.2456659303035264E-13</v>
      </c>
      <c r="C5" s="7">
        <f>$P$1*(($P$2*'Single Exponen'!C5)-('Konstanta b triple'!$P$3*'Double Exponen'!C5)+'Konstanta b triple'!$P$4*'triple exponen'!C5)</f>
        <v>112.47097500000012</v>
      </c>
      <c r="D5" s="7">
        <f>$P$1*(($P$2*'Single Exponen'!D5)-('Konstanta b triple'!$P$3*'Double Exponen'!D5)+'Konstanta b triple'!$P$4*'triple exponen'!D5)</f>
        <v>176.46383250000068</v>
      </c>
      <c r="E5" s="7">
        <f>$P$1*(($P$2*'Single Exponen'!E5)-('Konstanta b triple'!$P$3*'Double Exponen'!E5)+'Konstanta b triple'!$P$4*'triple exponen'!E5)</f>
        <v>179.96763850000025</v>
      </c>
      <c r="F5" s="7">
        <f>$P$1*(($P$2*'Single Exponen'!F5)-('Konstanta b triple'!$P$3*'Double Exponen'!F5)+'Konstanta b triple'!$P$4*'triple exponen'!F5)</f>
        <v>1294.7489667499999</v>
      </c>
      <c r="G5" s="7">
        <f>$P$1*(($P$2*'Single Exponen'!G5)-('Konstanta b triple'!$P$3*'Double Exponen'!G5)+'Konstanta b triple'!$P$4*'triple exponen'!G5)</f>
        <v>1005.9013525625003</v>
      </c>
      <c r="H5" s="7">
        <f>$P$1*(($P$2*'Single Exponen'!H5)-('Konstanta b triple'!$P$3*'Double Exponen'!H5)+'Konstanta b triple'!$P$4*'triple exponen'!H5)</f>
        <v>814.65468618275042</v>
      </c>
      <c r="I5" s="7">
        <f>$P$1*(($P$2*'Single Exponen'!I5)-('Konstanta b triple'!$P$3*'Double Exponen'!I5)+'Konstanta b triple'!$P$4*'triple exponen'!I5)</f>
        <v>896.90965272730011</v>
      </c>
      <c r="J5" s="7">
        <f>$P$1*(($P$2*'Single Exponen'!J5)-('Konstanta b triple'!$P$3*'Double Exponen'!J5)+'Konstanta b triple'!$P$4*'triple exponen'!J5)</f>
        <v>941.14228595769066</v>
      </c>
      <c r="K5" s="7">
        <f>$P$1*(($P$2*'Single Exponen'!K5)-('Konstanta b triple'!$P$3*'Double Exponen'!K5)+'Konstanta b triple'!$P$4*'triple exponen'!K5)</f>
        <v>1465.0251821856489</v>
      </c>
      <c r="L5" s="7">
        <f>$P$1*(($P$2*'Single Exponen'!L5)-('Konstanta b triple'!$P$3*'Double Exponen'!L5)+'Konstanta b triple'!$P$4*'triple exponen'!L5)</f>
        <v>1013.7180738622665</v>
      </c>
      <c r="M5" s="7">
        <f>$P$1*(($P$2*'Single Exponen'!M5)-('Konstanta b triple'!$P$3*'Double Exponen'!M5)+'Konstanta b triple'!$P$4*'triple exponen'!M5)</f>
        <v>703.23182318014949</v>
      </c>
    </row>
    <row r="6" spans="1:24" x14ac:dyDescent="0.3">
      <c r="A6" s="7" t="str">
        <f>'Konstanta a triple'!A6</f>
        <v>Oil B 200 LT</v>
      </c>
      <c r="B6" s="7">
        <f>$P$1*(($P$2*'Single Exponen'!B6)-('Konstanta b triple'!$P$3*'Double Exponen'!B6)+'Konstanta b triple'!$P$4*'triple exponen'!B6)</f>
        <v>0</v>
      </c>
      <c r="C6" s="7">
        <f>$P$1*(($P$2*'Single Exponen'!C6)-('Konstanta b triple'!$P$3*'Double Exponen'!C6)+'Konstanta b triple'!$P$4*'triple exponen'!C6)</f>
        <v>696.67850999999996</v>
      </c>
      <c r="D6" s="7">
        <f>$P$1*(($P$2*'Single Exponen'!D6)-('Konstanta b triple'!$P$3*'Double Exponen'!D6)+'Konstanta b triple'!$P$4*'triple exponen'!D6)</f>
        <v>1038.3421070000002</v>
      </c>
      <c r="E6" s="7">
        <f>$P$1*(($P$2*'Single Exponen'!E6)-('Konstanta b triple'!$P$3*'Double Exponen'!E6)+'Konstanta b triple'!$P$4*'triple exponen'!E6)</f>
        <v>1256.7982896000001</v>
      </c>
      <c r="F6" s="7">
        <f>$P$1*(($P$2*'Single Exponen'!F6)-('Konstanta b triple'!$P$3*'Double Exponen'!F6)+'Konstanta b triple'!$P$4*'triple exponen'!F6)</f>
        <v>1623.5709456999996</v>
      </c>
      <c r="G6" s="7">
        <f>$P$1*(($P$2*'Single Exponen'!G6)-('Konstanta b triple'!$P$3*'Double Exponen'!G6)+'Konstanta b triple'!$P$4*'triple exponen'!G6)</f>
        <v>1599.2670206650002</v>
      </c>
      <c r="H6" s="7">
        <f>$P$1*(($P$2*'Single Exponen'!H6)-('Konstanta b triple'!$P$3*'Double Exponen'!H6)+'Konstanta b triple'!$P$4*'triple exponen'!H6)</f>
        <v>2569.8541108629006</v>
      </c>
      <c r="I6" s="7">
        <f>$P$1*(($P$2*'Single Exponen'!I6)-('Konstanta b triple'!$P$3*'Double Exponen'!I6)+'Konstanta b triple'!$P$4*'triple exponen'!I6)</f>
        <v>2639.5249035291813</v>
      </c>
      <c r="J6" s="7">
        <f>$P$1*(($P$2*'Single Exponen'!J6)-('Konstanta b triple'!$P$3*'Double Exponen'!J6)+'Konstanta b triple'!$P$4*'triple exponen'!J6)</f>
        <v>2537.5862481967242</v>
      </c>
      <c r="K6" s="7">
        <f>$P$1*(($P$2*'Single Exponen'!K6)-('Konstanta b triple'!$P$3*'Double Exponen'!K6)+'Konstanta b triple'!$P$4*'triple exponen'!K6)</f>
        <v>3048.5792613743024</v>
      </c>
      <c r="L6" s="7">
        <f>$P$1*(($P$2*'Single Exponen'!L6)-('Konstanta b triple'!$P$3*'Double Exponen'!L6)+'Konstanta b triple'!$P$4*'triple exponen'!L6)</f>
        <v>3342.3090972653476</v>
      </c>
      <c r="M6" s="7">
        <f>$P$1*(($P$2*'Single Exponen'!M6)-('Konstanta b triple'!$P$3*'Double Exponen'!M6)+'Konstanta b triple'!$P$4*'triple exponen'!M6)</f>
        <v>3284.922672412295</v>
      </c>
    </row>
    <row r="7" spans="1:24" x14ac:dyDescent="0.3">
      <c r="A7" s="6">
        <f>A1+0.1</f>
        <v>0.2</v>
      </c>
      <c r="B7" s="6" t="str">
        <f t="shared" ref="B7:M7" si="0">B1</f>
        <v>T1</v>
      </c>
      <c r="C7" s="6" t="str">
        <f t="shared" si="0"/>
        <v>T2</v>
      </c>
      <c r="D7" s="6" t="str">
        <f t="shared" si="0"/>
        <v>T3</v>
      </c>
      <c r="E7" s="6" t="str">
        <f t="shared" si="0"/>
        <v>T4</v>
      </c>
      <c r="F7" s="6" t="str">
        <f t="shared" si="0"/>
        <v>T5</v>
      </c>
      <c r="G7" s="6" t="str">
        <f t="shared" si="0"/>
        <v>T6</v>
      </c>
      <c r="H7" s="6" t="str">
        <f t="shared" si="0"/>
        <v>T7</v>
      </c>
      <c r="I7" s="6" t="str">
        <f t="shared" si="0"/>
        <v>T8</v>
      </c>
      <c r="J7" s="6" t="str">
        <f t="shared" si="0"/>
        <v>T9</v>
      </c>
      <c r="K7" s="6" t="str">
        <f t="shared" si="0"/>
        <v>T10</v>
      </c>
      <c r="L7" s="6" t="str">
        <f t="shared" si="0"/>
        <v>T11</v>
      </c>
      <c r="M7" s="6" t="str">
        <f t="shared" si="0"/>
        <v>T12</v>
      </c>
    </row>
    <row r="8" spans="1:24" x14ac:dyDescent="0.3">
      <c r="A8" s="6" t="str">
        <f>A2</f>
        <v>Oil A 20 LT</v>
      </c>
      <c r="B8" s="6">
        <f>$Q$1*(($Q$2*'Single Exponen'!B8)-('Konstanta b triple'!$Q$3*'Double Exponen'!B8)+'Konstanta b triple'!$Q$4*'triple exponen'!B8)</f>
        <v>-1.1368683772161601E-12</v>
      </c>
      <c r="C8" s="6">
        <f>$Q$1*(($Q$2*'Single Exponen'!C8)-('Konstanta b triple'!$Q$3*'Double Exponen'!C8)+'Konstanta b triple'!$Q$4*'triple exponen'!C8)</f>
        <v>-842.22071999999901</v>
      </c>
      <c r="D8" s="6">
        <f>$Q$1*(($Q$2*'Single Exponen'!D8)-('Konstanta b triple'!$Q$3*'Double Exponen'!D8)+'Konstanta b triple'!$Q$4*'triple exponen'!D8)</f>
        <v>512.0019919999969</v>
      </c>
      <c r="E8" s="6">
        <f>$Q$1*(($Q$2*'Single Exponen'!E8)-('Konstanta b triple'!$Q$3*'Double Exponen'!E8)+'Konstanta b triple'!$Q$4*'triple exponen'!E8)</f>
        <v>150.37360319999718</v>
      </c>
      <c r="F8" s="6">
        <f>$Q$1*(($Q$2*'Single Exponen'!F8)-('Konstanta b triple'!$Q$3*'Double Exponen'!F8)+'Konstanta b triple'!$Q$4*'triple exponen'!F8)</f>
        <v>-277.45066559999935</v>
      </c>
      <c r="G8" s="6">
        <f>$Q$1*(($Q$2*'Single Exponen'!G8)-('Konstanta b triple'!$Q$3*'Double Exponen'!G8)+'Konstanta b triple'!$Q$4*'triple exponen'!G8)</f>
        <v>-590.23529568000288</v>
      </c>
      <c r="H8" s="6">
        <f>$Q$1*(($Q$2*'Single Exponen'!H8)-('Konstanta b triple'!$Q$3*'Double Exponen'!H8)+'Konstanta b triple'!$Q$4*'triple exponen'!H8)</f>
        <v>372.80617315839999</v>
      </c>
      <c r="I8" s="6">
        <f>$Q$1*(($Q$2*'Single Exponen'!I8)-('Konstanta b triple'!$Q$3*'Double Exponen'!I8)+'Konstanta b triple'!$Q$4*'triple exponen'!I8)</f>
        <v>98.090082498558772</v>
      </c>
      <c r="J8" s="6">
        <f>$Q$1*(($Q$2*'Single Exponen'!J8)-('Konstanta b triple'!$Q$3*'Double Exponen'!J8)+'Konstanta b triple'!$Q$4*'triple exponen'!J8)</f>
        <v>-77.254165855746336</v>
      </c>
      <c r="K8" s="6">
        <f>$Q$1*(($Q$2*'Single Exponen'!K8)-('Konstanta b triple'!$Q$3*'Double Exponen'!K8)+'Konstanta b triple'!$Q$4*'triple exponen'!K8)</f>
        <v>-435.53987579392123</v>
      </c>
      <c r="L8" s="6">
        <f>$Q$1*(($Q$2*'Single Exponen'!L8)-('Konstanta b triple'!$Q$3*'Double Exponen'!L8)+'Konstanta b triple'!$Q$4*'triple exponen'!L8)</f>
        <v>453.88529877688137</v>
      </c>
      <c r="M8" s="6">
        <f>$Q$1*(($Q$2*'Single Exponen'!M8)-('Konstanta b triple'!$Q$3*'Double Exponen'!M8)+'Konstanta b triple'!$Q$4*'triple exponen'!M8)</f>
        <v>237.23366567070568</v>
      </c>
    </row>
    <row r="9" spans="1:24" x14ac:dyDescent="0.3">
      <c r="A9" s="6" t="str">
        <f>A3</f>
        <v>Oil A 200 LT</v>
      </c>
      <c r="B9" s="6">
        <f>$Q$1*(($Q$2*'Single Exponen'!B9)-('Konstanta b triple'!$Q$3*'Double Exponen'!B9)+'Konstanta b triple'!$Q$4*'triple exponen'!B9)</f>
        <v>-3.6379788070917123E-11</v>
      </c>
      <c r="C9" s="6">
        <f>$Q$1*(($Q$2*'Single Exponen'!C9)-('Konstanta b triple'!$Q$3*'Double Exponen'!C9)+'Konstanta b triple'!$Q$4*'triple exponen'!C9)</f>
        <v>-6771.0621600000004</v>
      </c>
      <c r="D9" s="6">
        <f>$Q$1*(($Q$2*'Single Exponen'!D9)-('Konstanta b triple'!$Q$3*'Double Exponen'!D9)+'Konstanta b triple'!$Q$4*'triple exponen'!D9)</f>
        <v>-10843.079424000023</v>
      </c>
      <c r="E9" s="6">
        <f>$Q$1*(($Q$2*'Single Exponen'!E9)-('Konstanta b triple'!$Q$3*'Double Exponen'!E9)+'Konstanta b triple'!$Q$4*'triple exponen'!E9)</f>
        <v>375.05968959994783</v>
      </c>
      <c r="F9" s="6">
        <f>$Q$1*(($Q$2*'Single Exponen'!F9)-('Konstanta b triple'!$Q$3*'Double Exponen'!F9)+'Konstanta b triple'!$Q$4*'triple exponen'!F9)</f>
        <v>-26335.488236799971</v>
      </c>
      <c r="G9" s="6">
        <f>$Q$1*(($Q$2*'Single Exponen'!G9)-('Konstanta b triple'!$Q$3*'Double Exponen'!G9)+'Konstanta b triple'!$Q$4*'triple exponen'!G9)</f>
        <v>-19857.731277439958</v>
      </c>
      <c r="H9" s="6">
        <f>$Q$1*(($Q$2*'Single Exponen'!H9)-('Konstanta b triple'!$Q$3*'Double Exponen'!H9)+'Konstanta b triple'!$Q$4*'triple exponen'!H9)</f>
        <v>-5419.2660501248602</v>
      </c>
      <c r="I9" s="6">
        <f>$Q$1*(($Q$2*'Single Exponen'!I9)-('Konstanta b triple'!$Q$3*'Double Exponen'!I9)+'Konstanta b triple'!$Q$4*'triple exponen'!I9)</f>
        <v>8341.4229951436191</v>
      </c>
      <c r="J9" s="6">
        <f>$Q$1*(($Q$2*'Single Exponen'!J9)-('Konstanta b triple'!$Q$3*'Double Exponen'!J9)+'Konstanta b triple'!$Q$4*'triple exponen'!J9)</f>
        <v>15560.438310535024</v>
      </c>
      <c r="K9" s="6">
        <f>$Q$1*(($Q$2*'Single Exponen'!K9)-('Konstanta b triple'!$Q$3*'Double Exponen'!K9)+'Konstanta b triple'!$Q$4*'triple exponen'!K9)</f>
        <v>19779.673656944538</v>
      </c>
      <c r="L9" s="6">
        <f>$Q$1*(($Q$2*'Single Exponen'!L9)-('Konstanta b triple'!$Q$3*'Double Exponen'!L9)+'Konstanta b triple'!$Q$4*'triple exponen'!L9)</f>
        <v>15749.415793953045</v>
      </c>
      <c r="M9" s="6">
        <f>$Q$1*(($Q$2*'Single Exponen'!M9)-('Konstanta b triple'!$Q$3*'Double Exponen'!M9)+'Konstanta b triple'!$Q$4*'triple exponen'!M9)</f>
        <v>6654.3523391478438</v>
      </c>
    </row>
    <row r="10" spans="1:24" x14ac:dyDescent="0.3">
      <c r="A10" s="6" t="str">
        <f>A4</f>
        <v>Oil A 1000 LT</v>
      </c>
      <c r="B10" s="6">
        <f>$Q$1*(($Q$2*'Single Exponen'!B10)-('Konstanta b triple'!$Q$3*'Double Exponen'!B10)+'Konstanta b triple'!$Q$4*'triple exponen'!B10)</f>
        <v>0</v>
      </c>
      <c r="C10" s="6">
        <f>$Q$1*(($Q$2*'Single Exponen'!C10)-('Konstanta b triple'!$Q$3*'Double Exponen'!C10)+'Konstanta b triple'!$Q$4*'triple exponen'!C10)</f>
        <v>2025.8963999999987</v>
      </c>
      <c r="D10" s="6">
        <f>$Q$1*(($Q$2*'Single Exponen'!D10)-('Konstanta b triple'!$Q$3*'Double Exponen'!D10)+'Konstanta b triple'!$Q$4*'triple exponen'!D10)</f>
        <v>1532.1337600000013</v>
      </c>
      <c r="E10" s="6">
        <f>$Q$1*(($Q$2*'Single Exponen'!E10)-('Konstanta b triple'!$Q$3*'Double Exponen'!E10)+'Konstanta b triple'!$Q$4*'triple exponen'!E10)</f>
        <v>2281.3699359999937</v>
      </c>
      <c r="F10" s="6">
        <f>$Q$1*(($Q$2*'Single Exponen'!F10)-('Konstanta b triple'!$Q$3*'Double Exponen'!F10)+'Konstanta b triple'!$Q$4*'triple exponen'!F10)</f>
        <v>832.69758399999762</v>
      </c>
      <c r="G10" s="6">
        <f>$Q$1*(($Q$2*'Single Exponen'!G10)-('Konstanta b triple'!$Q$3*'Double Exponen'!G10)+'Konstanta b triple'!$Q$4*'triple exponen'!G10)</f>
        <v>3556.5988095999951</v>
      </c>
      <c r="H10" s="6">
        <f>$Q$1*(($Q$2*'Single Exponen'!H10)-('Konstanta b triple'!$Q$3*'Double Exponen'!H10)+'Konstanta b triple'!$Q$4*'triple exponen'!H10)</f>
        <v>7633.7275889920002</v>
      </c>
      <c r="I10" s="6">
        <f>$Q$1*(($Q$2*'Single Exponen'!I10)-('Konstanta b triple'!$Q$3*'Double Exponen'!I10)+'Konstanta b triple'!$Q$4*'triple exponen'!I10)</f>
        <v>6060.8196621567904</v>
      </c>
      <c r="J10" s="6">
        <f>$Q$1*(($Q$2*'Single Exponen'!J10)-('Konstanta b triple'!$Q$3*'Double Exponen'!J10)+'Konstanta b triple'!$Q$4*'triple exponen'!J10)</f>
        <v>57.359208826881051</v>
      </c>
      <c r="K10" s="6">
        <f>$Q$1*(($Q$2*'Single Exponen'!K10)-('Konstanta b triple'!$Q$3*'Double Exponen'!K10)+'Konstanta b triple'!$Q$4*'triple exponen'!K10)</f>
        <v>-1913.1191245926445</v>
      </c>
      <c r="L10" s="6">
        <f>$Q$1*(($Q$2*'Single Exponen'!L10)-('Konstanta b triple'!$Q$3*'Double Exponen'!L10)+'Konstanta b triple'!$Q$4*'triple exponen'!L10)</f>
        <v>-2607.801112945669</v>
      </c>
      <c r="M10" s="6">
        <f>$Q$1*(($Q$2*'Single Exponen'!M10)-('Konstanta b triple'!$Q$3*'Double Exponen'!M10)+'Konstanta b triple'!$Q$4*'triple exponen'!M10)</f>
        <v>-2065.5792369323644</v>
      </c>
    </row>
    <row r="11" spans="1:24" x14ac:dyDescent="0.3">
      <c r="A11" s="6" t="str">
        <f>A5</f>
        <v>Oil B 20 LT</v>
      </c>
      <c r="B11" s="6">
        <f>$Q$1*(($Q$2*'Single Exponen'!B11)-('Konstanta b triple'!$Q$3*'Double Exponen'!B11)+'Konstanta b triple'!$Q$4*'triple exponen'!B11)</f>
        <v>2.8421709430404002E-13</v>
      </c>
      <c r="C11" s="6">
        <f>$Q$1*(($Q$2*'Single Exponen'!C11)-('Konstanta b triple'!$Q$3*'Double Exponen'!C11)+'Konstanta b triple'!$Q$4*'triple exponen'!C11)</f>
        <v>426.20579999999956</v>
      </c>
      <c r="D11" s="6">
        <f>$Q$1*(($Q$2*'Single Exponen'!D11)-('Konstanta b triple'!$Q$3*'Double Exponen'!D11)+'Konstanta b triple'!$Q$4*'triple exponen'!D11)</f>
        <v>557.45952000000068</v>
      </c>
      <c r="E11" s="6">
        <f>$Q$1*(($Q$2*'Single Exponen'!E11)-('Konstanta b triple'!$Q$3*'Double Exponen'!E11)+'Konstanta b triple'!$Q$4*'triple exponen'!E11)</f>
        <v>428.98659200000048</v>
      </c>
      <c r="F11" s="6">
        <f>$Q$1*(($Q$2*'Single Exponen'!F11)-('Konstanta b triple'!$Q$3*'Double Exponen'!F11)+'Konstanta b triple'!$Q$4*'triple exponen'!F11)</f>
        <v>4550.6882319999995</v>
      </c>
      <c r="G11" s="6">
        <f>$Q$1*(($Q$2*'Single Exponen'!G11)-('Konstanta b triple'!$Q$3*'Double Exponen'!G11)+'Konstanta b triple'!$Q$4*'triple exponen'!G11)</f>
        <v>2282.5181343999975</v>
      </c>
      <c r="H11" s="6">
        <f>$Q$1*(($Q$2*'Single Exponen'!H11)-('Konstanta b triple'!$Q$3*'Double Exponen'!H11)+'Konstanta b triple'!$Q$4*'triple exponen'!H11)</f>
        <v>1017.7677722239972</v>
      </c>
      <c r="I11" s="6">
        <f>$Q$1*(($Q$2*'Single Exponen'!I11)-('Konstanta b triple'!$Q$3*'Double Exponen'!I11)+'Konstanta b triple'!$Q$4*'triple exponen'!I11)</f>
        <v>1146.8505300735976</v>
      </c>
      <c r="J11" s="6">
        <f>$Q$1*(($Q$2*'Single Exponen'!J11)-('Konstanta b triple'!$Q$3*'Double Exponen'!J11)+'Konstanta b triple'!$Q$4*'triple exponen'!J11)</f>
        <v>1115.5314343193581</v>
      </c>
      <c r="K11" s="6">
        <f>$Q$1*(($Q$2*'Single Exponen'!K11)-('Konstanta b triple'!$Q$3*'Double Exponen'!K11)+'Konstanta b triple'!$Q$4*'triple exponen'!K11)</f>
        <v>2927.5411240038393</v>
      </c>
      <c r="L11" s="6">
        <f>$Q$1*(($Q$2*'Single Exponen'!L11)-('Konstanta b triple'!$Q$3*'Double Exponen'!L11)+'Konstanta b triple'!$Q$4*'triple exponen'!L11)</f>
        <v>587.57541511372824</v>
      </c>
      <c r="M11" s="6">
        <f>$Q$1*(($Q$2*'Single Exponen'!M11)-('Konstanta b triple'!$Q$3*'Double Exponen'!M11)+'Konstanta b triple'!$Q$4*'triple exponen'!M11)</f>
        <v>-576.48674744291372</v>
      </c>
    </row>
    <row r="12" spans="1:24" x14ac:dyDescent="0.3">
      <c r="A12" s="6" t="str">
        <f>A6</f>
        <v>Oil B 200 LT</v>
      </c>
      <c r="B12" s="6">
        <f>$Q$1*(($Q$2*'Single Exponen'!B12)-('Konstanta b triple'!$Q$3*'Double Exponen'!B12)+'Konstanta b triple'!$Q$4*'triple exponen'!B12)</f>
        <v>0</v>
      </c>
      <c r="C12" s="6">
        <f>$Q$1*(($Q$2*'Single Exponen'!C12)-('Konstanta b triple'!$Q$3*'Double Exponen'!C12)+'Konstanta b triple'!$Q$4*'triple exponen'!C12)</f>
        <v>2640.0448799999995</v>
      </c>
      <c r="D12" s="6">
        <f>$Q$1*(($Q$2*'Single Exponen'!D12)-('Konstanta b triple'!$Q$3*'Double Exponen'!D12)+'Konstanta b triple'!$Q$4*'triple exponen'!D12)</f>
        <v>3245.6823519999994</v>
      </c>
      <c r="E12" s="6">
        <f>$Q$1*(($Q$2*'Single Exponen'!E12)-('Konstanta b triple'!$Q$3*'Double Exponen'!E12)+'Konstanta b triple'!$Q$4*'triple exponen'!E12)</f>
        <v>3249.6025151999993</v>
      </c>
      <c r="F12" s="6">
        <f>$Q$1*(($Q$2*'Single Exponen'!F12)-('Konstanta b triple'!$Q$3*'Double Exponen'!F12)+'Konstanta b triple'!$Q$4*'triple exponen'!F12)</f>
        <v>3846.6864991999983</v>
      </c>
      <c r="G12" s="6">
        <f>$Q$1*(($Q$2*'Single Exponen'!G12)-('Konstanta b triple'!$Q$3*'Double Exponen'!G12)+'Konstanta b triple'!$Q$4*'triple exponen'!G12)</f>
        <v>2841.6326531199984</v>
      </c>
      <c r="H12" s="6">
        <f>$Q$1*(($Q$2*'Single Exponen'!H12)-('Konstanta b triple'!$Q$3*'Double Exponen'!H12)+'Konstanta b triple'!$Q$4*'triple exponen'!H12)</f>
        <v>5912.5223768063997</v>
      </c>
      <c r="I12" s="6">
        <f>$Q$1*(($Q$2*'Single Exponen'!I12)-('Konstanta b triple'!$Q$3*'Double Exponen'!I12)+'Konstanta b triple'!$Q$4*'triple exponen'!I12)</f>
        <v>4805.0496579353603</v>
      </c>
      <c r="J12" s="6">
        <f>$Q$1*(($Q$2*'Single Exponen'!J12)-('Konstanta b triple'!$Q$3*'Double Exponen'!J12)+'Konstanta b triple'!$Q$4*'triple exponen'!J12)</f>
        <v>3400.8404539740195</v>
      </c>
      <c r="K12" s="6">
        <f>$Q$1*(($Q$2*'Single Exponen'!K12)-('Konstanta b triple'!$Q$3*'Double Exponen'!K12)+'Konstanta b triple'!$Q$4*'triple exponen'!K12)</f>
        <v>4744.5688832266233</v>
      </c>
      <c r="L12" s="6">
        <f>$Q$1*(($Q$2*'Single Exponen'!L12)-('Konstanta b triple'!$Q$3*'Double Exponen'!L12)+'Konstanta b triple'!$Q$4*'triple exponen'!L12)</f>
        <v>4961.7260329766932</v>
      </c>
      <c r="M12" s="6">
        <f>$Q$1*(($Q$2*'Single Exponen'!M12)-('Konstanta b triple'!$Q$3*'Double Exponen'!M12)+'Konstanta b triple'!$Q$4*'triple exponen'!M12)</f>
        <v>3849.3728557836339</v>
      </c>
    </row>
    <row r="13" spans="1:24" x14ac:dyDescent="0.3">
      <c r="A13" s="6">
        <f>A7+0.1</f>
        <v>0.30000000000000004</v>
      </c>
      <c r="B13" s="6" t="str">
        <f t="shared" ref="B13:M13" si="1">B7</f>
        <v>T1</v>
      </c>
      <c r="C13" s="6" t="str">
        <f t="shared" si="1"/>
        <v>T2</v>
      </c>
      <c r="D13" s="6" t="str">
        <f t="shared" si="1"/>
        <v>T3</v>
      </c>
      <c r="E13" s="6" t="str">
        <f t="shared" si="1"/>
        <v>T4</v>
      </c>
      <c r="F13" s="6" t="str">
        <f t="shared" si="1"/>
        <v>T5</v>
      </c>
      <c r="G13" s="6" t="str">
        <f t="shared" si="1"/>
        <v>T6</v>
      </c>
      <c r="H13" s="6" t="str">
        <f t="shared" si="1"/>
        <v>T7</v>
      </c>
      <c r="I13" s="6" t="str">
        <f t="shared" si="1"/>
        <v>T8</v>
      </c>
      <c r="J13" s="6" t="str">
        <f t="shared" si="1"/>
        <v>T9</v>
      </c>
      <c r="K13" s="6" t="str">
        <f t="shared" si="1"/>
        <v>T10</v>
      </c>
      <c r="L13" s="6" t="str">
        <f t="shared" si="1"/>
        <v>T11</v>
      </c>
      <c r="M13" s="6" t="str">
        <f t="shared" si="1"/>
        <v>T12</v>
      </c>
    </row>
    <row r="14" spans="1:24" x14ac:dyDescent="0.3">
      <c r="A14" s="6" t="str">
        <f>A8</f>
        <v>Oil A 20 LT</v>
      </c>
      <c r="B14" s="6">
        <f>$R$1*(($R$2*'Single Exponen'!B14)-('Konstanta b triple'!$R$3*'Double Exponen'!B14)+'Konstanta b triple'!$R$4*'triple exponen'!B14)</f>
        <v>2.2273339635255386E-12</v>
      </c>
      <c r="C14" s="6">
        <f>$R$1*(($R$2*'Single Exponen'!C14)-('Konstanta b triple'!$R$3*'Double Exponen'!C14)+'Konstanta b triple'!$R$4*'triple exponen'!C14)</f>
        <v>-1789.7190299999941</v>
      </c>
      <c r="D14" s="6">
        <f>$R$1*(($R$2*'Single Exponen'!D14)-('Konstanta b triple'!$R$3*'Double Exponen'!D14)+'Konstanta b triple'!$R$4*'triple exponen'!D14)</f>
        <v>1546.9365420000067</v>
      </c>
      <c r="E14" s="6">
        <f>$R$1*(($R$2*'Single Exponen'!E14)-('Konstanta b triple'!$R$3*'Double Exponen'!E14)+'Konstanta b triple'!$R$4*'triple exponen'!E14)</f>
        <v>313.8878223000055</v>
      </c>
      <c r="F14" s="6">
        <f>$R$1*(($R$2*'Single Exponen'!F14)-('Konstanta b triple'!$R$3*'Double Exponen'!F14)+'Konstanta b triple'!$R$4*'triple exponen'!F14)</f>
        <v>-679.13838719999387</v>
      </c>
      <c r="G14" s="6">
        <f>$R$1*(($R$2*'Single Exponen'!G14)-('Konstanta b triple'!$R$3*'Double Exponen'!G14)+'Konstanta b triple'!$R$4*'triple exponen'!G14)</f>
        <v>-1159.8450529949873</v>
      </c>
      <c r="H14" s="6">
        <f>$R$1*(($R$2*'Single Exponen'!H14)-('Konstanta b triple'!$R$3*'Double Exponen'!H14)+'Konstanta b triple'!$R$4*'triple exponen'!H14)</f>
        <v>1168.0272709434093</v>
      </c>
      <c r="I14" s="6">
        <f>$R$1*(($R$2*'Single Exponen'!I14)-('Konstanta b triple'!$R$3*'Double Exponen'!I14)+'Konstanta b triple'!$R$4*'triple exponen'!I14)</f>
        <v>226.52169007419673</v>
      </c>
      <c r="J14" s="6">
        <f>$R$1*(($R$2*'Single Exponen'!J14)-('Konstanta b triple'!$R$3*'Double Exponen'!J14)+'Konstanta b triple'!$R$4*'triple exponen'!J14)</f>
        <v>-212.53792730827516</v>
      </c>
      <c r="K14" s="6">
        <f>$R$1*(($R$2*'Single Exponen'!K14)-('Konstanta b triple'!$R$3*'Double Exponen'!K14)+'Konstanta b triple'!$R$4*'triple exponen'!K14)</f>
        <v>-917.16604782285924</v>
      </c>
      <c r="L14" s="6">
        <f>$R$1*(($R$2*'Single Exponen'!L14)-('Konstanta b triple'!$R$3*'Double Exponen'!L14)+'Konstanta b triple'!$R$4*'triple exponen'!L14)</f>
        <v>1203.087512410606</v>
      </c>
      <c r="M14" s="6">
        <f>$R$1*(($R$2*'Single Exponen'!M14)-('Konstanta b triple'!$R$3*'Double Exponen'!M14)+'Konstanta b triple'!$R$4*'triple exponen'!M14)</f>
        <v>395.60981229514795</v>
      </c>
    </row>
    <row r="15" spans="1:24" x14ac:dyDescent="0.3">
      <c r="A15" s="6" t="str">
        <f>A9</f>
        <v>Oil A 200 LT</v>
      </c>
      <c r="B15" s="6">
        <f>$R$1*(($R$2*'Single Exponen'!B15)-('Konstanta b triple'!$R$3*'Double Exponen'!B15)+'Konstanta b triple'!$R$4*'triple exponen'!B15)</f>
        <v>1.4254937366563447E-10</v>
      </c>
      <c r="C15" s="6">
        <f>$R$1*(($R$2*'Single Exponen'!C15)-('Konstanta b triple'!$R$3*'Double Exponen'!C15)+'Konstanta b triple'!$R$4*'triple exponen'!C15)</f>
        <v>-14388.50708999987</v>
      </c>
      <c r="D15" s="6">
        <f>$R$1*(($R$2*'Single Exponen'!D15)-('Konstanta b triple'!$R$3*'Double Exponen'!D15)+'Konstanta b triple'!$R$4*'triple exponen'!D15)</f>
        <v>-19351.941848999762</v>
      </c>
      <c r="E15" s="6">
        <f>$R$1*(($R$2*'Single Exponen'!E15)-('Konstanta b triple'!$R$3*'Double Exponen'!E15)+'Konstanta b triple'!$R$4*'triple exponen'!E15)</f>
        <v>8902.9830294003368</v>
      </c>
      <c r="F15" s="6">
        <f>$R$1*(($R$2*'Single Exponen'!F15)-('Konstanta b triple'!$R$3*'Double Exponen'!F15)+'Konstanta b triple'!$R$4*'triple exponen'!F15)</f>
        <v>-51373.553192099811</v>
      </c>
      <c r="G15" s="6">
        <f>$R$1*(($R$2*'Single Exponen'!G15)-('Konstanta b triple'!$R$3*'Double Exponen'!G15)+'Konstanta b triple'!$R$4*'triple exponen'!G15)</f>
        <v>-25216.983020834799</v>
      </c>
      <c r="H15" s="6">
        <f>$R$1*(($R$2*'Single Exponen'!H15)-('Konstanta b triple'!$R$3*'Double Exponen'!H15)+'Konstanta b triple'!$R$4*'triple exponen'!H15)</f>
        <v>9290.7364377181275</v>
      </c>
      <c r="I15" s="6">
        <f>$R$1*(($R$2*'Single Exponen'!I15)-('Konstanta b triple'!$R$3*'Double Exponen'!I15)+'Konstanta b triple'!$R$4*'triple exponen'!I15)</f>
        <v>32807.699924944856</v>
      </c>
      <c r="J15" s="6">
        <f>$R$1*(($R$2*'Single Exponen'!J15)-('Konstanta b triple'!$R$3*'Double Exponen'!J15)+'Konstanta b triple'!$R$4*'triple exponen'!J15)</f>
        <v>37092.464182792253</v>
      </c>
      <c r="K15" s="6">
        <f>$R$1*(($R$2*'Single Exponen'!K15)-('Konstanta b triple'!$R$3*'Double Exponen'!K15)+'Konstanta b triple'!$R$4*'triple exponen'!K15)</f>
        <v>35469.410312331842</v>
      </c>
      <c r="L15" s="6">
        <f>$R$1*(($R$2*'Single Exponen'!L15)-('Konstanta b triple'!$R$3*'Double Exponen'!L15)+'Konstanta b triple'!$R$4*'triple exponen'!L15)</f>
        <v>18340.705981448635</v>
      </c>
      <c r="M15" s="6">
        <f>$R$1*(($R$2*'Single Exponen'!M15)-('Konstanta b triple'!$R$3*'Double Exponen'!M15)+'Konstanta b triple'!$R$4*'triple exponen'!M15)</f>
        <v>-3762.1605733880888</v>
      </c>
    </row>
    <row r="16" spans="1:24" x14ac:dyDescent="0.3">
      <c r="A16" s="6" t="str">
        <f>A10</f>
        <v>Oil A 1000 LT</v>
      </c>
      <c r="B16" s="6">
        <f>$R$1*(($R$2*'Single Exponen'!B16)-('Konstanta b triple'!$R$3*'Double Exponen'!B16)+'Konstanta b triple'!$R$4*'triple exponen'!B16)</f>
        <v>0</v>
      </c>
      <c r="C16" s="6">
        <f>$R$1*(($R$2*'Single Exponen'!C16)-('Konstanta b triple'!$R$3*'Double Exponen'!C16)+'Konstanta b triple'!$R$4*'triple exponen'!C16)</f>
        <v>4305.0298500000063</v>
      </c>
      <c r="D16" s="6">
        <f>$R$1*(($R$2*'Single Exponen'!D16)-('Konstanta b triple'!$R$3*'Double Exponen'!D16)+'Konstanta b triple'!$R$4*'triple exponen'!D16)</f>
        <v>2151.8582850000221</v>
      </c>
      <c r="E16" s="6">
        <f>$R$1*(($R$2*'Single Exponen'!E16)-('Konstanta b triple'!$R$3*'Double Exponen'!E16)+'Konstanta b triple'!$R$4*'triple exponen'!E16)</f>
        <v>3355.5477690000184</v>
      </c>
      <c r="F16" s="6">
        <f>$R$1*(($R$2*'Single Exponen'!F16)-('Konstanta b triple'!$R$3*'Double Exponen'!F16)+'Konstanta b triple'!$R$4*'triple exponen'!F16)</f>
        <v>-352.27997549996763</v>
      </c>
      <c r="G16" s="6">
        <f>$R$1*(($R$2*'Single Exponen'!G16)-('Konstanta b triple'!$R$3*'Double Exponen'!G16)+'Konstanta b triple'!$R$4*'triple exponen'!G16)</f>
        <v>5862.5338227750217</v>
      </c>
      <c r="H16" s="6">
        <f>$R$1*(($R$2*'Single Exponen'!H16)-('Konstanta b triple'!$R$3*'Double Exponen'!H16)+'Konstanta b triple'!$R$4*'triple exponen'!H16)</f>
        <v>13311.971326579534</v>
      </c>
      <c r="I16" s="6">
        <f>$R$1*(($R$2*'Single Exponen'!I16)-('Konstanta b triple'!$R$3*'Double Exponen'!I16)+'Konstanta b triple'!$R$4*'triple exponen'!I16)</f>
        <v>7033.7602847412172</v>
      </c>
      <c r="J16" s="6">
        <f>$R$1*(($R$2*'Single Exponen'!J16)-('Konstanta b triple'!$R$3*'Double Exponen'!J16)+'Konstanta b triple'!$R$4*'triple exponen'!J16)</f>
        <v>-6595.9500509035006</v>
      </c>
      <c r="K16" s="6">
        <f>$R$1*(($R$2*'Single Exponen'!K16)-('Konstanta b triple'!$R$3*'Double Exponen'!K16)+'Konstanta b triple'!$R$4*'triple exponen'!K16)</f>
        <v>-7988.265060450155</v>
      </c>
      <c r="L16" s="6">
        <f>$R$1*(($R$2*'Single Exponen'!L16)-('Konstanta b triple'!$R$3*'Double Exponen'!L16)+'Konstanta b triple'!$R$4*'triple exponen'!L16)</f>
        <v>-6682.0413244509718</v>
      </c>
      <c r="M16" s="6">
        <f>$R$1*(($R$2*'Single Exponen'!M16)-('Konstanta b triple'!$R$3*'Double Exponen'!M16)+'Konstanta b triple'!$R$4*'triple exponen'!M16)</f>
        <v>-3482.9950599451799</v>
      </c>
    </row>
    <row r="17" spans="1:13" x14ac:dyDescent="0.3">
      <c r="A17" s="6" t="str">
        <f>A11</f>
        <v>Oil B 20 LT</v>
      </c>
      <c r="B17" s="6">
        <f>$R$1*(($R$2*'Single Exponen'!B17)-('Konstanta b triple'!$R$3*'Double Exponen'!B17)+'Konstanta b triple'!$R$4*'triple exponen'!B17)</f>
        <v>0</v>
      </c>
      <c r="C17" s="6">
        <f>$R$1*(($R$2*'Single Exponen'!C17)-('Konstanta b triple'!$R$3*'Double Exponen'!C17)+'Konstanta b triple'!$R$4*'triple exponen'!C17)</f>
        <v>905.68732500000135</v>
      </c>
      <c r="D17" s="6">
        <f>$R$1*(($R$2*'Single Exponen'!D17)-('Konstanta b triple'!$R$3*'Double Exponen'!D17)+'Konstanta b triple'!$R$4*'triple exponen'!D17)</f>
        <v>952.35878250000258</v>
      </c>
      <c r="E17" s="6">
        <f>$R$1*(($R$2*'Single Exponen'!E17)-('Konstanta b triple'!$R$3*'Double Exponen'!E17)+'Konstanta b triple'!$R$4*'triple exponen'!E17)</f>
        <v>469.51019550000342</v>
      </c>
      <c r="F17" s="6">
        <f>$R$1*(($R$2*'Single Exponen'!F17)-('Konstanta b triple'!$R$3*'Double Exponen'!F17)+'Konstanta b triple'!$R$4*'triple exponen'!F17)</f>
        <v>9175.2996577500089</v>
      </c>
      <c r="G17" s="6">
        <f>$R$1*(($R$2*'Single Exponen'!G17)-('Konstanta b triple'!$R$3*'Double Exponen'!G17)+'Konstanta b triple'!$R$4*'triple exponen'!G17)</f>
        <v>2081.7391462875044</v>
      </c>
      <c r="H17" s="6">
        <f>$R$1*(($R$2*'Single Exponen'!H17)-('Konstanta b triple'!$R$3*'Double Exponen'!H17)+'Konstanta b triple'!$R$4*'triple exponen'!H17)</f>
        <v>-720.55748763224653</v>
      </c>
      <c r="I17" s="6">
        <f>$R$1*(($R$2*'Single Exponen'!I17)-('Konstanta b triple'!$R$3*'Double Exponen'!I17)+'Konstanta b triple'!$R$4*'triple exponen'!I17)</f>
        <v>198.61434353790582</v>
      </c>
      <c r="J17" s="6">
        <f>$R$1*(($R$2*'Single Exponen'!J17)-('Konstanta b triple'!$R$3*'Double Exponen'!J17)+'Konstanta b triple'!$R$4*'triple exponen'!J17)</f>
        <v>466.68843042561667</v>
      </c>
      <c r="K17" s="6">
        <f>$R$1*(($R$2*'Single Exponen'!K17)-('Konstanta b triple'!$R$3*'Double Exponen'!K17)+'Konstanta b triple'!$R$4*'triple exponen'!K17)</f>
        <v>4545.0448006352208</v>
      </c>
      <c r="L17" s="6">
        <f>$R$1*(($R$2*'Single Exponen'!L17)-('Konstanta b triple'!$R$3*'Double Exponen'!L17)+'Konstanta b triple'!$R$4*'triple exponen'!L17)</f>
        <v>-1272.3282915582092</v>
      </c>
      <c r="M17" s="6">
        <f>$R$1*(($R$2*'Single Exponen'!M17)-('Konstanta b triple'!$R$3*'Double Exponen'!M17)+'Konstanta b triple'!$R$4*'triple exponen'!M17)</f>
        <v>-2970.2685075700128</v>
      </c>
    </row>
    <row r="18" spans="1:13" x14ac:dyDescent="0.3">
      <c r="A18" s="6" t="str">
        <f>A12</f>
        <v>Oil B 200 LT</v>
      </c>
      <c r="B18" s="6">
        <f>$R$1*(($R$2*'Single Exponen'!B18)-('Konstanta b triple'!$R$3*'Double Exponen'!B18)+'Konstanta b triple'!$R$4*'triple exponen'!B18)</f>
        <v>0</v>
      </c>
      <c r="C18" s="6">
        <f>$R$1*(($R$2*'Single Exponen'!C18)-('Konstanta b triple'!$R$3*'Double Exponen'!C18)+'Konstanta b triple'!$R$4*'triple exponen'!C18)</f>
        <v>5610.0953700000009</v>
      </c>
      <c r="D18" s="6">
        <f>$R$1*(($R$2*'Single Exponen'!D18)-('Konstanta b triple'!$R$3*'Double Exponen'!D18)+'Konstanta b triple'!$R$4*'triple exponen'!D18)</f>
        <v>5458.4949870000009</v>
      </c>
      <c r="E18" s="6">
        <f>$R$1*(($R$2*'Single Exponen'!E18)-('Konstanta b triple'!$R$3*'Double Exponen'!E18)+'Konstanta b triple'!$R$4*'triple exponen'!E18)</f>
        <v>4279.998538800005</v>
      </c>
      <c r="F18" s="6">
        <f>$R$1*(($R$2*'Single Exponen'!F18)-('Konstanta b triple'!$R$3*'Double Exponen'!F18)+'Konstanta b triple'!$R$4*'triple exponen'!F18)</f>
        <v>4853.1119625000047</v>
      </c>
      <c r="G18" s="6">
        <f>$R$1*(($R$2*'Single Exponen'!G18)-('Konstanta b triple'!$R$3*'Double Exponen'!G18)+'Konstanta b triple'!$R$4*'triple exponen'!G18)</f>
        <v>1999.6021547550106</v>
      </c>
      <c r="H18" s="6">
        <f>$R$1*(($R$2*'Single Exponen'!H18)-('Konstanta b triple'!$R$3*'Double Exponen'!H18)+'Konstanta b triple'!$R$4*'triple exponen'!H18)</f>
        <v>8669.993238918918</v>
      </c>
      <c r="I18" s="6">
        <f>$R$1*(($R$2*'Single Exponen'!I18)-('Konstanta b triple'!$R$3*'Double Exponen'!I18)+'Konstanta b triple'!$R$4*'triple exponen'!I18)</f>
        <v>4756.6202523773563</v>
      </c>
      <c r="J18" s="6">
        <f>$R$1*(($R$2*'Single Exponen'!J18)-('Konstanta b triple'!$R$3*'Double Exponen'!J18)+'Konstanta b triple'!$R$4*'triple exponen'!J18)</f>
        <v>1468.4538878626113</v>
      </c>
      <c r="K18" s="6">
        <f>$R$1*(($R$2*'Single Exponen'!K18)-('Konstanta b triple'!$R$3*'Double Exponen'!K18)+'Konstanta b triple'!$R$4*'triple exponen'!K18)</f>
        <v>4940.5252944659578</v>
      </c>
      <c r="L18" s="6">
        <f>$R$1*(($R$2*'Single Exponen'!L18)-('Konstanta b triple'!$R$3*'Double Exponen'!L18)+'Konstanta b triple'!$R$4*'triple exponen'!L18)</f>
        <v>5067.452789785917</v>
      </c>
      <c r="M18" s="6">
        <f>$R$1*(($R$2*'Single Exponen'!M18)-('Konstanta b triple'!$R$3*'Double Exponen'!M18)+'Konstanta b triple'!$R$4*'triple exponen'!M18)</f>
        <v>2406.3157392223366</v>
      </c>
    </row>
    <row r="19" spans="1:13" x14ac:dyDescent="0.3">
      <c r="A19" s="6">
        <f>A13+0.1</f>
        <v>0.4</v>
      </c>
      <c r="B19" s="6" t="str">
        <f t="shared" ref="B19:M19" si="2">B13</f>
        <v>T1</v>
      </c>
      <c r="C19" s="6" t="str">
        <f t="shared" si="2"/>
        <v>T2</v>
      </c>
      <c r="D19" s="6" t="str">
        <f t="shared" si="2"/>
        <v>T3</v>
      </c>
      <c r="E19" s="6" t="str">
        <f t="shared" si="2"/>
        <v>T4</v>
      </c>
      <c r="F19" s="6" t="str">
        <f t="shared" si="2"/>
        <v>T5</v>
      </c>
      <c r="G19" s="6" t="str">
        <f t="shared" si="2"/>
        <v>T6</v>
      </c>
      <c r="H19" s="6" t="str">
        <f t="shared" si="2"/>
        <v>T7</v>
      </c>
      <c r="I19" s="6" t="str">
        <f t="shared" si="2"/>
        <v>T8</v>
      </c>
      <c r="J19" s="6" t="str">
        <f t="shared" si="2"/>
        <v>T9</v>
      </c>
      <c r="K19" s="6" t="str">
        <f t="shared" si="2"/>
        <v>T10</v>
      </c>
      <c r="L19" s="6" t="str">
        <f t="shared" si="2"/>
        <v>T11</v>
      </c>
      <c r="M19" s="6" t="str">
        <f t="shared" si="2"/>
        <v>T12</v>
      </c>
    </row>
    <row r="20" spans="1:13" x14ac:dyDescent="0.3">
      <c r="A20" s="6" t="str">
        <f>A14</f>
        <v>Oil A 20 LT</v>
      </c>
      <c r="B20" s="6">
        <f>$S$1*(($S$2*'Single Exponen'!B20)-('Konstanta b triple'!$S$3*'Double Exponen'!B20)+'Konstanta b triple'!$S$4*'triple exponen'!B20)</f>
        <v>-4.0421986745463479E-12</v>
      </c>
      <c r="C20" s="6">
        <f>$S$1*(($S$2*'Single Exponen'!C20)-('Konstanta b triple'!$S$3*'Double Exponen'!C20)+'Konstanta b triple'!$S$4*'triple exponen'!C20)</f>
        <v>-2994.5625599999971</v>
      </c>
      <c r="D20" s="6">
        <f>$S$1*(($S$2*'Single Exponen'!D20)-('Konstanta b triple'!$S$3*'Double Exponen'!D20)+'Konstanta b triple'!$S$4*'triple exponen'!D20)</f>
        <v>3339.9147520000083</v>
      </c>
      <c r="E20" s="6">
        <f>$S$1*(($S$2*'Single Exponen'!E20)-('Konstanta b triple'!$S$3*'Double Exponen'!E20)+'Konstanta b triple'!$S$4*'triple exponen'!E20)</f>
        <v>239.2752384000091</v>
      </c>
      <c r="F20" s="6">
        <f>$S$1*(($S$2*'Single Exponen'!F20)-('Konstanta b triple'!$S$3*'Double Exponen'!F20)+'Konstanta b triple'!$S$4*'triple exponen'!F20)</f>
        <v>-1417.3186559999967</v>
      </c>
      <c r="G20" s="6">
        <f>$S$1*(($S$2*'Single Exponen'!G20)-('Konstanta b triple'!$S$3*'Double Exponen'!G20)+'Konstanta b triple'!$S$4*'triple exponen'!G20)</f>
        <v>-1796.0252518399932</v>
      </c>
      <c r="H20" s="6">
        <f>$S$1*(($S$2*'Single Exponen'!H20)-('Konstanta b triple'!$S$3*'Double Exponen'!H20)+'Konstanta b triple'!$S$4*'triple exponen'!H20)</f>
        <v>2511.5735066624138</v>
      </c>
      <c r="I20" s="6">
        <f>$S$1*(($S$2*'Single Exponen'!I20)-('Konstanta b triple'!$S$3*'Double Exponen'!I20)+'Konstanta b triple'!$S$4*'triple exponen'!I20)</f>
        <v>156.02947428351601</v>
      </c>
      <c r="J20" s="6">
        <f>$S$1*(($S$2*'Single Exponen'!J20)-('Konstanta b triple'!$S$3*'Double Exponen'!J20)+'Konstanta b triple'!$S$4*'triple exponen'!J20)</f>
        <v>-568.52730788248869</v>
      </c>
      <c r="K20" s="6">
        <f>$S$1*(($S$2*'Single Exponen'!K20)-('Konstanta b triple'!$S$3*'Double Exponen'!K20)+'Konstanta b triple'!$S$4*'triple exponen'!K20)</f>
        <v>-1553.2721489756054</v>
      </c>
      <c r="L20" s="6">
        <f>$S$1*(($S$2*'Single Exponen'!L20)-('Konstanta b triple'!$S$3*'Double Exponen'!L20)+'Konstanta b triple'!$S$4*'triple exponen'!L20)</f>
        <v>2387.9954308022329</v>
      </c>
      <c r="M20" s="6">
        <f>$S$1*(($S$2*'Single Exponen'!M20)-('Konstanta b triple'!$S$3*'Double Exponen'!M20)+'Konstanta b triple'!$S$4*'triple exponen'!M20)</f>
        <v>337.25755783506128</v>
      </c>
    </row>
    <row r="21" spans="1:13" x14ac:dyDescent="0.3">
      <c r="A21" s="6" t="str">
        <f>A15</f>
        <v>Oil A 200 LT</v>
      </c>
      <c r="B21" s="6">
        <f>$S$1*(($S$2*'Single Exponen'!B21)-('Konstanta b triple'!$S$3*'Double Exponen'!B21)+'Konstanta b triple'!$S$4*'triple exponen'!B21)</f>
        <v>0</v>
      </c>
      <c r="C21" s="6">
        <f>$S$1*(($S$2*'Single Exponen'!C21)-('Konstanta b triple'!$S$3*'Double Exponen'!C21)+'Konstanta b triple'!$S$4*'triple exponen'!C21)</f>
        <v>-24074.887680000134</v>
      </c>
      <c r="D21" s="6">
        <f>$S$1*(($S$2*'Single Exponen'!D21)-('Konstanta b triple'!$S$3*'Double Exponen'!D21)+'Konstanta b triple'!$S$4*'triple exponen'!D21)</f>
        <v>-26337.394943999956</v>
      </c>
      <c r="E21" s="6">
        <f>$S$1*(($S$2*'Single Exponen'!E21)-('Konstanta b triple'!$S$3*'Double Exponen'!E21)+'Konstanta b triple'!$S$4*'triple exponen'!E21)</f>
        <v>25947.143475200155</v>
      </c>
      <c r="F21" s="6">
        <f>$S$1*(($S$2*'Single Exponen'!F21)-('Konstanta b triple'!$S$3*'Double Exponen'!F21)+'Konstanta b triple'!$S$4*'triple exponen'!F21)</f>
        <v>-84436.385023999814</v>
      </c>
      <c r="G21" s="6">
        <f>$S$1*(($S$2*'Single Exponen'!G21)-('Konstanta b triple'!$S$3*'Double Exponen'!G21)+'Konstanta b triple'!$S$4*'triple exponen'!G21)</f>
        <v>-20111.626424320017</v>
      </c>
      <c r="H21" s="6">
        <f>$S$1*(($S$2*'Single Exponen'!H21)-('Konstanta b triple'!$S$3*'Double Exponen'!H21)+'Konstanta b triple'!$S$4*'triple exponen'!H21)</f>
        <v>36612.882772787321</v>
      </c>
      <c r="I21" s="6">
        <f>$S$1*(($S$2*'Single Exponen'!I21)-('Konstanta b triple'!$S$3*'Double Exponen'!I21)+'Konstanta b triple'!$S$4*'triple exponen'!I21)</f>
        <v>60698.041884098719</v>
      </c>
      <c r="J21" s="6">
        <f>$S$1*(($S$2*'Single Exponen'!J21)-('Konstanta b triple'!$S$3*'Double Exponen'!J21)+'Konstanta b triple'!$S$4*'triple exponen'!J21)</f>
        <v>50390.939649114414</v>
      </c>
      <c r="K21" s="6">
        <f>$S$1*(($S$2*'Single Exponen'!K21)-('Konstanta b triple'!$S$3*'Double Exponen'!K21)+'Konstanta b triple'!$S$4*'triple exponen'!K21)</f>
        <v>37459.651852501171</v>
      </c>
      <c r="L21" s="6">
        <f>$S$1*(($S$2*'Single Exponen'!L21)-('Konstanta b triple'!$S$3*'Double Exponen'!L21)+'Konstanta b triple'!$S$4*'triple exponen'!L21)</f>
        <v>4814.4763604241116</v>
      </c>
      <c r="M21" s="6">
        <f>$S$1*(($S$2*'Single Exponen'!M21)-('Konstanta b triple'!$S$3*'Double Exponen'!M21)+'Konstanta b triple'!$S$4*'triple exponen'!M21)</f>
        <v>-26539.102467729375</v>
      </c>
    </row>
    <row r="22" spans="1:13" x14ac:dyDescent="0.3">
      <c r="A22" s="6" t="str">
        <f>A16</f>
        <v>Oil A 1000 LT</v>
      </c>
      <c r="B22" s="6">
        <f>$S$1*(($S$2*'Single Exponen'!B22)-('Konstanta b triple'!$S$3*'Double Exponen'!B22)+'Konstanta b triple'!$S$4*'triple exponen'!B22)</f>
        <v>-8.0843973490926958E-12</v>
      </c>
      <c r="C22" s="6">
        <f>$S$1*(($S$2*'Single Exponen'!C22)-('Konstanta b triple'!$S$3*'Double Exponen'!C22)+'Konstanta b triple'!$S$4*'triple exponen'!C22)</f>
        <v>7203.1871999999976</v>
      </c>
      <c r="D22" s="6">
        <f>$S$1*(($S$2*'Single Exponen'!D22)-('Konstanta b triple'!$S$3*'Double Exponen'!D22)+'Konstanta b triple'!$S$4*'triple exponen'!D22)</f>
        <v>1792.6361600000059</v>
      </c>
      <c r="E22" s="6">
        <f>$S$1*(($S$2*'Single Exponen'!E22)-('Konstanta b triple'!$S$3*'Double Exponen'!E22)+'Konstanta b triple'!$S$4*'triple exponen'!E22)</f>
        <v>3836.0069120000117</v>
      </c>
      <c r="F22" s="6">
        <f>$S$1*(($S$2*'Single Exponen'!F22)-('Konstanta b triple'!$S$3*'Double Exponen'!F22)+'Konstanta b triple'!$S$4*'triple exponen'!F22)</f>
        <v>-2833.2213759999931</v>
      </c>
      <c r="G22" s="6">
        <f>$S$1*(($S$2*'Single Exponen'!G22)-('Konstanta b triple'!$S$3*'Double Exponen'!G22)+'Konstanta b triple'!$S$4*'triple exponen'!G22)</f>
        <v>8917.8546688000079</v>
      </c>
      <c r="H22" s="6">
        <f>$S$1*(($S$2*'Single Exponen'!H22)-('Konstanta b triple'!$S$3*'Double Exponen'!H22)+'Konstanta b triple'!$S$4*'triple exponen'!H22)</f>
        <v>19450.502182912023</v>
      </c>
      <c r="I22" s="6">
        <f>$S$1*(($S$2*'Single Exponen'!I22)-('Konstanta b triple'!$S$3*'Double Exponen'!I22)+'Konstanta b triple'!$S$4*'triple exponen'!I22)</f>
        <v>4882.8450697215967</v>
      </c>
      <c r="J22" s="6">
        <f>$S$1*(($S$2*'Single Exponen'!J22)-('Konstanta b triple'!$S$3*'Double Exponen'!J22)+'Konstanta b triple'!$S$4*'triple exponen'!J22)</f>
        <v>-17223.305423585254</v>
      </c>
      <c r="K22" s="6">
        <f>$S$1*(($S$2*'Single Exponen'!K22)-('Konstanta b triple'!$S$3*'Double Exponen'!K22)+'Konstanta b triple'!$S$4*'triple exponen'!K22)</f>
        <v>-13408.737966243831</v>
      </c>
      <c r="L22" s="6">
        <f>$S$1*(($S$2*'Single Exponen'!L22)-('Konstanta b triple'!$S$3*'Double Exponen'!L22)+'Konstanta b triple'!$S$4*'triple exponen'!L22)</f>
        <v>-7608.1135467069307</v>
      </c>
      <c r="M22" s="6">
        <f>$S$1*(($S$2*'Single Exponen'!M22)-('Konstanta b triple'!$S$3*'Double Exponen'!M22)+'Konstanta b triple'!$S$4*'triple exponen'!M22)</f>
        <v>-1095.0269520235533</v>
      </c>
    </row>
    <row r="23" spans="1:13" x14ac:dyDescent="0.3">
      <c r="A23" s="6" t="str">
        <f>A17</f>
        <v>Oil B 20 LT</v>
      </c>
      <c r="B23" s="6">
        <f>$S$1*(($S$2*'Single Exponen'!B23)-('Konstanta b triple'!$S$3*'Double Exponen'!B23)+'Konstanta b triple'!$S$4*'triple exponen'!B23)</f>
        <v>0</v>
      </c>
      <c r="C23" s="6">
        <f>$S$1*(($S$2*'Single Exponen'!C23)-('Konstanta b triple'!$S$3*'Double Exponen'!C23)+'Konstanta b triple'!$S$4*'triple exponen'!C23)</f>
        <v>1515.3983999999998</v>
      </c>
      <c r="D23" s="6">
        <f>$S$1*(($S$2*'Single Exponen'!D23)-('Konstanta b triple'!$S$3*'Double Exponen'!D23)+'Konstanta b triple'!$S$4*'triple exponen'!D23)</f>
        <v>1213.1539200000043</v>
      </c>
      <c r="E23" s="6">
        <f>$S$1*(($S$2*'Single Exponen'!E23)-('Konstanta b triple'!$S$3*'Double Exponen'!E23)+'Konstanta b triple'!$S$4*'triple exponen'!E23)</f>
        <v>201.60102400000244</v>
      </c>
      <c r="F23" s="6">
        <f>$S$1*(($S$2*'Single Exponen'!F23)-('Konstanta b triple'!$S$3*'Double Exponen'!F23)+'Konstanta b triple'!$S$4*'triple exponen'!F23)</f>
        <v>14877.837824000004</v>
      </c>
      <c r="G23" s="6">
        <f>$S$1*(($S$2*'Single Exponen'!G23)-('Konstanta b triple'!$S$3*'Double Exponen'!G23)+'Konstanta b triple'!$S$4*'triple exponen'!G23)</f>
        <v>-586.63129599999388</v>
      </c>
      <c r="H23" s="6">
        <f>$S$1*(($S$2*'Single Exponen'!H23)-('Konstanta b triple'!$S$3*'Double Exponen'!H23)+'Konstanta b triple'!$S$4*'triple exponen'!H23)</f>
        <v>-4032.0688015359906</v>
      </c>
      <c r="I23" s="6">
        <f>$S$1*(($S$2*'Single Exponen'!I23)-('Konstanta b triple'!$S$3*'Double Exponen'!I23)+'Konstanta b triple'!$S$4*'triple exponen'!I23)</f>
        <v>-660.19451310079603</v>
      </c>
      <c r="J23" s="6">
        <f>$S$1*(($S$2*'Single Exponen'!J23)-('Konstanta b triple'!$S$3*'Double Exponen'!J23)+'Konstanta b triple'!$S$4*'triple exponen'!J23)</f>
        <v>316.79102214144223</v>
      </c>
      <c r="K23" s="6">
        <f>$S$1*(($S$2*'Single Exponen'!K23)-('Konstanta b triple'!$S$3*'Double Exponen'!K23)+'Konstanta b triple'!$S$4*'triple exponen'!K23)</f>
        <v>7280.2238528716898</v>
      </c>
      <c r="L23" s="6">
        <f>$S$1*(($S$2*'Single Exponen'!L23)-('Konstanta b triple'!$S$3*'Double Exponen'!L23)+'Konstanta b triple'!$S$4*'triple exponen'!L23)</f>
        <v>-4107.9365835735052</v>
      </c>
      <c r="M23" s="6">
        <f>$S$1*(($S$2*'Single Exponen'!M23)-('Konstanta b triple'!$S$3*'Double Exponen'!M23)+'Konstanta b triple'!$S$4*'triple exponen'!M23)</f>
        <v>-5315.3589907511687</v>
      </c>
    </row>
    <row r="24" spans="1:13" x14ac:dyDescent="0.3">
      <c r="A24" s="6" t="str">
        <f>A18</f>
        <v>Oil B 200 LT</v>
      </c>
      <c r="B24" s="6">
        <f>$S$1*(($S$2*'Single Exponen'!B24)-('Konstanta b triple'!$S$3*'Double Exponen'!B24)+'Konstanta b triple'!$S$4*'triple exponen'!B24)</f>
        <v>0</v>
      </c>
      <c r="C24" s="6">
        <f>$S$1*(($S$2*'Single Exponen'!C24)-('Konstanta b triple'!$S$3*'Double Exponen'!C24)+'Konstanta b triple'!$S$4*'triple exponen'!C24)</f>
        <v>9386.8262400000003</v>
      </c>
      <c r="D24" s="6">
        <f>$S$1*(($S$2*'Single Exponen'!D24)-('Konstanta b triple'!$S$3*'Double Exponen'!D24)+'Konstanta b triple'!$S$4*'triple exponen'!D24)</f>
        <v>6777.2587520000006</v>
      </c>
      <c r="E24" s="6">
        <f>$S$1*(($S$2*'Single Exponen'!E24)-('Konstanta b triple'!$S$3*'Double Exponen'!E24)+'Konstanta b triple'!$S$4*'triple exponen'!E24)</f>
        <v>3728.9977344000022</v>
      </c>
      <c r="F24" s="6">
        <f>$S$1*(($S$2*'Single Exponen'!F24)-('Konstanta b triple'!$S$3*'Double Exponen'!F24)+'Konstanta b triple'!$S$4*'triple exponen'!F24)</f>
        <v>4695.8181376000093</v>
      </c>
      <c r="G24" s="6">
        <f>$S$1*(($S$2*'Single Exponen'!G24)-('Konstanta b triple'!$S$3*'Double Exponen'!G24)+'Konstanta b triple'!$S$4*'triple exponen'!G24)</f>
        <v>-272.77205504000045</v>
      </c>
      <c r="H24" s="6">
        <f>$S$1*(($S$2*'Single Exponen'!H24)-('Konstanta b triple'!$S$3*'Double Exponen'!H24)+'Konstanta b triple'!$S$4*'triple exponen'!H24)</f>
        <v>12027.390222950393</v>
      </c>
      <c r="I24" s="6">
        <f>$S$1*(($S$2*'Single Exponen'!I24)-('Konstanta b triple'!$S$3*'Double Exponen'!I24)+'Konstanta b triple'!$S$4*'triple exponen'!I24)</f>
        <v>3261.5766184755234</v>
      </c>
      <c r="J24" s="6">
        <f>$S$1*(($S$2*'Single Exponen'!J24)-('Konstanta b triple'!$S$3*'Double Exponen'!J24)+'Konstanta b triple'!$S$4*'triple exponen'!J24)</f>
        <v>-1659.4453314191358</v>
      </c>
      <c r="K24" s="6">
        <f>$S$1*(($S$2*'Single Exponen'!K24)-('Konstanta b triple'!$S$3*'Double Exponen'!K24)+'Konstanta b triple'!$S$4*'triple exponen'!K24)</f>
        <v>5853.8557836492937</v>
      </c>
      <c r="L24" s="6">
        <f>$S$1*(($S$2*'Single Exponen'!L24)-('Konstanta b triple'!$S$3*'Double Exponen'!L24)+'Konstanta b triple'!$S$4*'triple exponen'!L24)</f>
        <v>5459.3967980921134</v>
      </c>
      <c r="M24" s="6">
        <f>$S$1*(($S$2*'Single Exponen'!M24)-('Konstanta b triple'!$S$3*'Double Exponen'!M24)+'Konstanta b triple'!$S$4*'triple exponen'!M24)</f>
        <v>658.44675863801967</v>
      </c>
    </row>
    <row r="25" spans="1:13" x14ac:dyDescent="0.3">
      <c r="A25" s="6">
        <f>A19+0.1</f>
        <v>0.5</v>
      </c>
      <c r="B25" s="6" t="str">
        <f t="shared" ref="B25:M25" si="3">B19</f>
        <v>T1</v>
      </c>
      <c r="C25" s="6" t="str">
        <f t="shared" si="3"/>
        <v>T2</v>
      </c>
      <c r="D25" s="6" t="str">
        <f t="shared" si="3"/>
        <v>T3</v>
      </c>
      <c r="E25" s="6" t="str">
        <f t="shared" si="3"/>
        <v>T4</v>
      </c>
      <c r="F25" s="6" t="str">
        <f t="shared" si="3"/>
        <v>T5</v>
      </c>
      <c r="G25" s="6" t="str">
        <f t="shared" si="3"/>
        <v>T6</v>
      </c>
      <c r="H25" s="6" t="str">
        <f t="shared" si="3"/>
        <v>T7</v>
      </c>
      <c r="I25" s="6" t="str">
        <f t="shared" si="3"/>
        <v>T8</v>
      </c>
      <c r="J25" s="6" t="str">
        <f t="shared" si="3"/>
        <v>T9</v>
      </c>
      <c r="K25" s="6" t="str">
        <f t="shared" si="3"/>
        <v>T10</v>
      </c>
      <c r="L25" s="6" t="str">
        <f t="shared" si="3"/>
        <v>T11</v>
      </c>
      <c r="M25" s="6" t="str">
        <f t="shared" si="3"/>
        <v>T12</v>
      </c>
    </row>
    <row r="26" spans="1:13" x14ac:dyDescent="0.3">
      <c r="A26" s="6" t="str">
        <f>A20</f>
        <v>Oil A 20 LT</v>
      </c>
      <c r="B26" s="6">
        <f>$T$1*(($T$2*'Single Exponen'!B26)-('Konstanta b triple'!$T$3*'Double Exponen'!B26)+'Konstanta b triple'!$T$4*'triple exponen'!B26)</f>
        <v>-7.2759576141834259E-12</v>
      </c>
      <c r="C26" s="6">
        <f>$T$1*(($T$2*'Single Exponen'!C26)-('Konstanta b triple'!$T$3*'Double Exponen'!C26)+'Konstanta b triple'!$T$4*'triple exponen'!C26)</f>
        <v>-4386.5662499999999</v>
      </c>
      <c r="D26" s="6">
        <f>$T$1*(($T$2*'Single Exponen'!D26)-('Konstanta b triple'!$T$3*'Double Exponen'!D26)+'Konstanta b triple'!$T$4*'triple exponen'!D26)</f>
        <v>5964.7250000000095</v>
      </c>
      <c r="E26" s="6">
        <f>$T$1*(($T$2*'Single Exponen'!E26)-('Konstanta b triple'!$T$3*'Double Exponen'!E26)+'Konstanta b triple'!$T$4*'triple exponen'!E26)</f>
        <v>-449.01656250000451</v>
      </c>
      <c r="F26" s="6">
        <f>$T$1*(($T$2*'Single Exponen'!F26)-('Konstanta b triple'!$T$3*'Double Exponen'!F26)+'Konstanta b triple'!$T$4*'triple exponen'!F26)</f>
        <v>-2481.2456249999814</v>
      </c>
      <c r="G26" s="6">
        <f>$T$1*(($T$2*'Single Exponen'!G26)-('Konstanta b triple'!$T$3*'Double Exponen'!G26)+'Konstanta b triple'!$T$4*'triple exponen'!G26)</f>
        <v>-2274.2360156249924</v>
      </c>
      <c r="H26" s="6">
        <f>$T$1*(($T$2*'Single Exponen'!H26)-('Konstanta b triple'!$T$3*'Double Exponen'!H26)+'Konstanta b triple'!$T$4*'triple exponen'!H26)</f>
        <v>4461.7318749999977</v>
      </c>
      <c r="I26" s="6">
        <f>$T$1*(($T$2*'Single Exponen'!I26)-('Konstanta b triple'!$T$3*'Double Exponen'!I26)+'Konstanta b triple'!$T$4*'triple exponen'!I26)</f>
        <v>-383.55337890623923</v>
      </c>
      <c r="J26" s="6">
        <f>$T$1*(($T$2*'Single Exponen'!J26)-('Konstanta b triple'!$T$3*'Double Exponen'!J26)+'Konstanta b triple'!$T$4*'triple exponen'!J26)</f>
        <v>-1134.1041015625051</v>
      </c>
      <c r="K26" s="6">
        <f>$T$1*(($T$2*'Single Exponen'!K26)-('Konstanta b triple'!$T$3*'Double Exponen'!K26)+'Konstanta b triple'!$T$4*'triple exponen'!K26)</f>
        <v>-2184.7108837890664</v>
      </c>
      <c r="L26" s="6">
        <f>$T$1*(($T$2*'Single Exponen'!L26)-('Konstanta b triple'!$T$3*'Double Exponen'!L26)+'Konstanta b triple'!$T$4*'triple exponen'!L26)</f>
        <v>4092.7525781250151</v>
      </c>
      <c r="M26" s="6">
        <f>$T$1*(($T$2*'Single Exponen'!M26)-('Konstanta b triple'!$T$3*'Double Exponen'!M26)+'Konstanta b triple'!$T$4*'triple exponen'!M26)</f>
        <v>-139.4953576660082</v>
      </c>
    </row>
    <row r="27" spans="1:13" x14ac:dyDescent="0.3">
      <c r="A27" s="6" t="str">
        <f>A21</f>
        <v>Oil A 200 LT</v>
      </c>
      <c r="B27" s="6">
        <f>$T$1*(($T$2*'Single Exponen'!B27)-('Konstanta b triple'!$T$3*'Double Exponen'!B27)+'Konstanta b triple'!$T$4*'triple exponen'!B27)</f>
        <v>0</v>
      </c>
      <c r="C27" s="6">
        <f>$T$1*(($T$2*'Single Exponen'!C27)-('Konstanta b triple'!$T$3*'Double Exponen'!C27)+'Konstanta b triple'!$T$4*'triple exponen'!C27)</f>
        <v>-35265.948750000214</v>
      </c>
      <c r="D27" s="6">
        <f>$T$1*(($T$2*'Single Exponen'!D27)-('Konstanta b triple'!$T$3*'Double Exponen'!D27)+'Konstanta b triple'!$T$4*'triple exponen'!D27)</f>
        <v>-29959.603124999907</v>
      </c>
      <c r="E27" s="6">
        <f>$T$1*(($T$2*'Single Exponen'!E27)-('Konstanta b triple'!$T$3*'Double Exponen'!E27)+'Konstanta b triple'!$T$4*'triple exponen'!E27)</f>
        <v>50626.215625000419</v>
      </c>
      <c r="F27" s="6">
        <f>$T$1*(($T$2*'Single Exponen'!F27)-('Konstanta b triple'!$T$3*'Double Exponen'!F27)+'Konstanta b triple'!$T$4*'triple exponen'!F27)</f>
        <v>-128504.00031249947</v>
      </c>
      <c r="G27" s="6">
        <f>$T$1*(($T$2*'Single Exponen'!G27)-('Konstanta b triple'!$T$3*'Double Exponen'!G27)+'Konstanta b triple'!$T$4*'triple exponen'!G27)</f>
        <v>-1439.2613281249069</v>
      </c>
      <c r="H27" s="6">
        <f>$T$1*(($T$2*'Single Exponen'!H27)-('Konstanta b triple'!$T$3*'Double Exponen'!H27)+'Konstanta b triple'!$T$4*'triple exponen'!H27)</f>
        <v>70954.658945312956</v>
      </c>
      <c r="I27" s="6">
        <f>$T$1*(($T$2*'Single Exponen'!I27)-('Konstanta b triple'!$T$3*'Double Exponen'!I27)+'Konstanta b triple'!$T$4*'triple exponen'!I27)</f>
        <v>81385.400625000126</v>
      </c>
      <c r="J27" s="6">
        <f>$T$1*(($T$2*'Single Exponen'!J27)-('Konstanta b triple'!$T$3*'Double Exponen'!J27)+'Konstanta b triple'!$T$4*'triple exponen'!J27)</f>
        <v>48251.499062500196</v>
      </c>
      <c r="K27" s="6">
        <f>$T$1*(($T$2*'Single Exponen'!K27)-('Konstanta b triple'!$T$3*'Double Exponen'!K27)+'Konstanta b triple'!$T$4*'triple exponen'!K27)</f>
        <v>26695.902993164491</v>
      </c>
      <c r="L27" s="6">
        <f>$T$1*(($T$2*'Single Exponen'!L27)-('Konstanta b triple'!$T$3*'Double Exponen'!L27)+'Konstanta b triple'!$T$4*'triple exponen'!L27)</f>
        <v>-16782.614729003515</v>
      </c>
      <c r="M27" s="6">
        <f>$T$1*(($T$2*'Single Exponen'!M27)-('Konstanta b triple'!$T$3*'Double Exponen'!M27)+'Konstanta b triple'!$T$4*'triple exponen'!M27)</f>
        <v>-48822.74820556608</v>
      </c>
    </row>
    <row r="28" spans="1:13" x14ac:dyDescent="0.3">
      <c r="A28" s="6" t="str">
        <f>A22</f>
        <v>Oil A 1000 LT</v>
      </c>
      <c r="B28" s="6">
        <f>$T$1*(($T$2*'Single Exponen'!B28)-('Konstanta b triple'!$T$3*'Double Exponen'!B28)+'Konstanta b triple'!$T$4*'triple exponen'!B28)</f>
        <v>1.4551915228366852E-11</v>
      </c>
      <c r="C28" s="6">
        <f>$T$1*(($T$2*'Single Exponen'!C28)-('Konstanta b triple'!$T$3*'Double Exponen'!C28)+'Konstanta b triple'!$T$4*'triple exponen'!C28)</f>
        <v>10551.543749999983</v>
      </c>
      <c r="D28" s="6">
        <f>$T$1*(($T$2*'Single Exponen'!D28)-('Konstanta b triple'!$T$3*'Double Exponen'!D28)+'Konstanta b triple'!$T$4*'triple exponen'!D28)</f>
        <v>46.665624999994179</v>
      </c>
      <c r="E28" s="6">
        <f>$T$1*(($T$2*'Single Exponen'!E28)-('Konstanta b triple'!$T$3*'Double Exponen'!E28)+'Konstanta b triple'!$T$4*'triple exponen'!E28)</f>
        <v>4023.7093750000058</v>
      </c>
      <c r="F28" s="6">
        <f>$T$1*(($T$2*'Single Exponen'!F28)-('Konstanta b triple'!$T$3*'Double Exponen'!F28)+'Konstanta b triple'!$T$4*'triple exponen'!F28)</f>
        <v>-6056.2859374999825</v>
      </c>
      <c r="G28" s="6">
        <f>$T$1*(($T$2*'Single Exponen'!G28)-('Konstanta b triple'!$T$3*'Double Exponen'!G28)+'Konstanta b triple'!$T$4*'triple exponen'!G28)</f>
        <v>13453.922265625006</v>
      </c>
      <c r="H28" s="6">
        <f>$T$1*(($T$2*'Single Exponen'!H28)-('Konstanta b triple'!$T$3*'Double Exponen'!H28)+'Konstanta b triple'!$T$4*'triple exponen'!H28)</f>
        <v>25550.50527343752</v>
      </c>
      <c r="I28" s="6">
        <f>$T$1*(($T$2*'Single Exponen'!I28)-('Konstanta b triple'!$T$3*'Double Exponen'!I28)+'Konstanta b triple'!$T$4*'triple exponen'!I28)</f>
        <v>-821.10078124995925</v>
      </c>
      <c r="J28" s="6">
        <f>$T$1*(($T$2*'Single Exponen'!J28)-('Konstanta b triple'!$T$3*'Double Exponen'!J28)+'Konstanta b triple'!$T$4*'triple exponen'!J28)</f>
        <v>-29794.902343749971</v>
      </c>
      <c r="K28" s="6">
        <f>$T$1*(($T$2*'Single Exponen'!K28)-('Konstanta b triple'!$T$3*'Double Exponen'!K28)+'Konstanta b triple'!$T$4*'triple exponen'!K28)</f>
        <v>-14878.002270507772</v>
      </c>
      <c r="L28" s="6">
        <f>$T$1*(($T$2*'Single Exponen'!L28)-('Konstanta b triple'!$T$3*'Double Exponen'!L28)+'Konstanta b triple'!$T$4*'triple exponen'!L28)</f>
        <v>-4251.1579956054484</v>
      </c>
      <c r="M28" s="6">
        <f>$T$1*(($T$2*'Single Exponen'!M28)-('Konstanta b triple'!$T$3*'Double Exponen'!M28)+'Konstanta b triple'!$T$4*'triple exponen'!M28)</f>
        <v>3833.0081665039179</v>
      </c>
    </row>
    <row r="29" spans="1:13" x14ac:dyDescent="0.3">
      <c r="A29" s="6" t="str">
        <f>A23</f>
        <v>Oil B 20 LT</v>
      </c>
      <c r="B29" s="6">
        <f>$T$1*(($T$2*'Single Exponen'!B29)-('Konstanta b triple'!$T$3*'Double Exponen'!B29)+'Konstanta b triple'!$T$4*'triple exponen'!B29)</f>
        <v>0</v>
      </c>
      <c r="C29" s="6">
        <f>$T$1*(($T$2*'Single Exponen'!C29)-('Konstanta b triple'!$T$3*'Double Exponen'!C29)+'Konstanta b triple'!$T$4*'triple exponen'!C29)</f>
        <v>2219.8218750000051</v>
      </c>
      <c r="D29" s="6">
        <f>$T$1*(($T$2*'Single Exponen'!D29)-('Konstanta b triple'!$T$3*'Double Exponen'!D29)+'Konstanta b triple'!$T$4*'triple exponen'!D29)</f>
        <v>1234.4578125000044</v>
      </c>
      <c r="E29" s="6">
        <f>$T$1*(($T$2*'Single Exponen'!E29)-('Konstanta b triple'!$T$3*'Double Exponen'!E29)+'Konstanta b triple'!$T$4*'triple exponen'!E29)</f>
        <v>-339.68968749999476</v>
      </c>
      <c r="F29" s="6">
        <f>$T$1*(($T$2*'Single Exponen'!F29)-('Konstanta b triple'!$T$3*'Double Exponen'!F29)+'Konstanta b triple'!$T$4*'triple exponen'!F29)</f>
        <v>21498.824218749993</v>
      </c>
      <c r="G29" s="6">
        <f>$T$1*(($T$2*'Single Exponen'!G29)-('Konstanta b triple'!$T$3*'Double Exponen'!G29)+'Konstanta b triple'!$T$4*'triple exponen'!G29)</f>
        <v>-6272.0329296875134</v>
      </c>
      <c r="H29" s="6">
        <f>$T$1*(($T$2*'Single Exponen'!H29)-('Konstanta b triple'!$T$3*'Double Exponen'!H29)+'Konstanta b triple'!$T$4*'triple exponen'!H29)</f>
        <v>-7671.8618945312483</v>
      </c>
      <c r="I29" s="6">
        <f>$T$1*(($T$2*'Single Exponen'!I29)-('Konstanta b triple'!$T$3*'Double Exponen'!I29)+'Konstanta b triple'!$T$4*'triple exponen'!I29)</f>
        <v>-34.928867187481956</v>
      </c>
      <c r="J29" s="6">
        <f>$T$1*(($T$2*'Single Exponen'!J29)-('Konstanta b triple'!$T$3*'Double Exponen'!J29)+'Konstanta b triple'!$T$4*'triple exponen'!J29)</f>
        <v>1196.7471289062596</v>
      </c>
      <c r="K29" s="6">
        <f>$T$1*(($T$2*'Single Exponen'!K29)-('Konstanta b triple'!$T$3*'Double Exponen'!K29)+'Konstanta b triple'!$T$4*'triple exponen'!K29)</f>
        <v>10924.2596069336</v>
      </c>
      <c r="L29" s="6">
        <f>$T$1*(($T$2*'Single Exponen'!L29)-('Konstanta b triple'!$T$3*'Double Exponen'!L29)+'Konstanta b triple'!$T$4*'triple exponen'!L29)</f>
        <v>-8458.6995446777364</v>
      </c>
      <c r="M29" s="6">
        <f>$T$1*(($T$2*'Single Exponen'!M29)-('Konstanta b triple'!$T$3*'Double Exponen'!M29)+'Konstanta b triple'!$T$4*'triple exponen'!M29)</f>
        <v>-7163.5343811035127</v>
      </c>
    </row>
    <row r="30" spans="1:13" x14ac:dyDescent="0.3">
      <c r="A30" s="6" t="str">
        <f>A24</f>
        <v>Oil B 200 LT</v>
      </c>
      <c r="B30" s="6">
        <f>$T$1*(($T$2*'Single Exponen'!B30)-('Konstanta b triple'!$T$3*'Double Exponen'!B30)+'Konstanta b triple'!$T$4*'triple exponen'!B30)</f>
        <v>0</v>
      </c>
      <c r="C30" s="6">
        <f>$T$1*(($T$2*'Single Exponen'!C30)-('Konstanta b triple'!$T$3*'Double Exponen'!C30)+'Konstanta b triple'!$T$4*'triple exponen'!C30)</f>
        <v>13750.233749999998</v>
      </c>
      <c r="D30" s="6">
        <f>$T$1*(($T$2*'Single Exponen'!D30)-('Konstanta b triple'!$T$3*'Double Exponen'!D30)+'Konstanta b triple'!$T$4*'triple exponen'!D30)</f>
        <v>6566.4568750000035</v>
      </c>
      <c r="E30" s="6">
        <f>$T$1*(($T$2*'Single Exponen'!E30)-('Konstanta b triple'!$T$3*'Double Exponen'!E30)+'Konstanta b triple'!$T$4*'triple exponen'!E30)</f>
        <v>1793.0325000000084</v>
      </c>
      <c r="F30" s="6">
        <f>$T$1*(($T$2*'Single Exponen'!F30)-('Konstanta b triple'!$T$3*'Double Exponen'!F30)+'Konstanta b triple'!$T$4*'triple exponen'!F30)</f>
        <v>4261.5565624999872</v>
      </c>
      <c r="G30" s="6">
        <f>$T$1*(($T$2*'Single Exponen'!G30)-('Konstanta b triple'!$T$3*'Double Exponen'!G30)+'Konstanta b triple'!$T$4*'triple exponen'!G30)</f>
        <v>-2907.8630468749907</v>
      </c>
      <c r="H30" s="6">
        <f>$T$1*(($T$2*'Single Exponen'!H30)-('Konstanta b triple'!$T$3*'Double Exponen'!H30)+'Konstanta b triple'!$T$4*'triple exponen'!H30)</f>
        <v>16959.462070312511</v>
      </c>
      <c r="I30" s="6">
        <f>$T$1*(($T$2*'Single Exponen'!I30)-('Konstanta b triple'!$T$3*'Double Exponen'!I30)+'Konstanta b triple'!$T$4*'triple exponen'!I30)</f>
        <v>421.88058593749884</v>
      </c>
      <c r="J30" s="6">
        <f>$T$1*(($T$2*'Single Exponen'!J30)-('Konstanta b triple'!$T$3*'Double Exponen'!J30)+'Konstanta b triple'!$T$4*'triple exponen'!J30)</f>
        <v>-5035.2135546874779</v>
      </c>
      <c r="K30" s="6">
        <f>$T$1*(($T$2*'Single Exponen'!K30)-('Konstanta b triple'!$T$3*'Double Exponen'!K30)+'Konstanta b triple'!$T$4*'triple exponen'!K30)</f>
        <v>8447.7244873047312</v>
      </c>
      <c r="L30" s="6">
        <f>$T$1*(($T$2*'Single Exponen'!L30)-('Konstanta b triple'!$T$3*'Double Exponen'!L30)+'Konstanta b triple'!$T$4*'triple exponen'!L30)</f>
        <v>6110.5044702148734</v>
      </c>
      <c r="M30" s="6">
        <f>$T$1*(($T$2*'Single Exponen'!M30)-('Konstanta b triple'!$T$3*'Double Exponen'!M30)+'Konstanta b triple'!$T$4*'triple exponen'!M30)</f>
        <v>-1472.7808544921572</v>
      </c>
    </row>
    <row r="31" spans="1:13" x14ac:dyDescent="0.3">
      <c r="A31" s="6">
        <f>A25+0.1</f>
        <v>0.6</v>
      </c>
      <c r="B31" s="6" t="str">
        <f t="shared" ref="B31:M31" si="4">B25</f>
        <v>T1</v>
      </c>
      <c r="C31" s="6" t="str">
        <f t="shared" si="4"/>
        <v>T2</v>
      </c>
      <c r="D31" s="6" t="str">
        <f t="shared" si="4"/>
        <v>T3</v>
      </c>
      <c r="E31" s="6" t="str">
        <f t="shared" si="4"/>
        <v>T4</v>
      </c>
      <c r="F31" s="6" t="str">
        <f t="shared" si="4"/>
        <v>T5</v>
      </c>
      <c r="G31" s="6" t="str">
        <f t="shared" si="4"/>
        <v>T6</v>
      </c>
      <c r="H31" s="6" t="str">
        <f t="shared" si="4"/>
        <v>T7</v>
      </c>
      <c r="I31" s="6" t="str">
        <f t="shared" si="4"/>
        <v>T8</v>
      </c>
      <c r="J31" s="6" t="str">
        <f t="shared" si="4"/>
        <v>T9</v>
      </c>
      <c r="K31" s="6" t="str">
        <f t="shared" si="4"/>
        <v>T10</v>
      </c>
      <c r="L31" s="6" t="str">
        <f t="shared" si="4"/>
        <v>T11</v>
      </c>
      <c r="M31" s="6" t="str">
        <f t="shared" si="4"/>
        <v>T12</v>
      </c>
    </row>
    <row r="32" spans="1:13" x14ac:dyDescent="0.3">
      <c r="A32" s="6" t="str">
        <f>A26</f>
        <v>Oil A 20 LT</v>
      </c>
      <c r="B32" s="6">
        <f>$U$1*(($U$2*'Single Exponen'!B32)-('Konstanta b triple'!$U$3*'Double Exponen'!B32)+'Konstanta b triple'!$U$4*'triple exponen'!B32)</f>
        <v>0</v>
      </c>
      <c r="C32" s="6">
        <f>$U$1*(($U$2*'Single Exponen'!C32)-('Konstanta b triple'!$U$3*'Double Exponen'!C32)+'Konstanta b triple'!$U$4*'triple exponen'!C32)</f>
        <v>-22915.422089999989</v>
      </c>
      <c r="D32" s="6">
        <f>$U$1*(($U$2*'Single Exponen'!D32)-('Konstanta b triple'!$U$3*'Double Exponen'!D32)+'Konstanta b triple'!$U$4*'triple exponen'!D32)</f>
        <v>18228.516012000011</v>
      </c>
      <c r="E32" s="6">
        <f>$U$1*(($U$2*'Single Exponen'!E32)-('Konstanta b triple'!$U$3*'Double Exponen'!E32)+'Konstanta b triple'!$U$4*'triple exponen'!E32)</f>
        <v>2262.9688145999871</v>
      </c>
      <c r="F32" s="6">
        <f>$U$1*(($U$2*'Single Exponen'!F32)-('Konstanta b triple'!$U$3*'Double Exponen'!F32)+'Konstanta b triple'!$U$4*'triple exponen'!F32)</f>
        <v>-9327.7542716999978</v>
      </c>
      <c r="G32" s="6">
        <f>$U$1*(($U$2*'Single Exponen'!G32)-('Konstanta b triple'!$U$3*'Double Exponen'!G32)+'Konstanta b triple'!$U$4*'triple exponen'!G32)</f>
        <v>-15462.153413009992</v>
      </c>
      <c r="H32" s="6">
        <f>$U$1*(($U$2*'Single Exponen'!H32)-('Konstanta b triple'!$U$3*'Double Exponen'!H32)+'Konstanta b triple'!$U$4*'triple exponen'!H32)</f>
        <v>12974.842506281413</v>
      </c>
      <c r="I32" s="6">
        <f>$U$1*(($U$2*'Single Exponen'!I32)-('Konstanta b triple'!$U$3*'Double Exponen'!I32)+'Konstanta b triple'!$U$4*'triple exponen'!I32)</f>
        <v>855.39632900236916</v>
      </c>
      <c r="J32" s="6">
        <f>$U$1*(($U$2*'Single Exponen'!J32)-('Konstanta b triple'!$U$3*'Double Exponen'!J32)+'Konstanta b triple'!$U$4*'triple exponen'!J32)</f>
        <v>-3872.9124426970511</v>
      </c>
      <c r="K32" s="6">
        <f>$U$1*(($U$2*'Single Exponen'!K32)-('Konstanta b triple'!$U$3*'Double Exponen'!K32)+'Konstanta b triple'!$U$4*'triple exponen'!K32)</f>
        <v>-12576.752236202547</v>
      </c>
      <c r="L32" s="6">
        <f>$U$1*(($U$2*'Single Exponen'!L32)-('Konstanta b triple'!$U$3*'Double Exponen'!L32)+'Konstanta b triple'!$U$4*'triple exponen'!L32)</f>
        <v>13799.559354405425</v>
      </c>
      <c r="M32" s="6">
        <f>$U$1*(($U$2*'Single Exponen'!M32)-('Konstanta b triple'!$U$3*'Double Exponen'!M32)+'Konstanta b triple'!$U$4*'triple exponen'!M32)</f>
        <v>3780.9677685990678</v>
      </c>
    </row>
    <row r="33" spans="1:13" x14ac:dyDescent="0.3">
      <c r="A33" s="6" t="str">
        <f>A27</f>
        <v>Oil A 200 LT</v>
      </c>
      <c r="B33" s="6">
        <f>$U$1*(($U$2*'Single Exponen'!B33)-('Konstanta b triple'!$U$3*'Double Exponen'!B33)+'Konstanta b triple'!$U$4*'triple exponen'!B33)</f>
        <v>-2.1827872842550273E-10</v>
      </c>
      <c r="C33" s="6">
        <f>$U$1*(($U$2*'Single Exponen'!C33)-('Konstanta b triple'!$U$3*'Double Exponen'!C33)+'Konstanta b triple'!$U$4*'triple exponen'!C33)</f>
        <v>-184229.3162700003</v>
      </c>
      <c r="D33" s="6">
        <f>$U$1*(($U$2*'Single Exponen'!D33)-('Konstanta b triple'!$U$3*'Double Exponen'!D33)+'Konstanta b triple'!$U$4*'triple exponen'!D33)</f>
        <v>-260469.84888900042</v>
      </c>
      <c r="E33" s="6">
        <f>$U$1*(($U$2*'Single Exponen'!E33)-('Konstanta b triple'!$U$3*'Double Exponen'!E33)+'Konstanta b triple'!$U$4*'triple exponen'!E33)</f>
        <v>71841.373026299974</v>
      </c>
      <c r="F33" s="6">
        <f>$U$1*(($U$2*'Single Exponen'!F33)-('Konstanta b triple'!$U$3*'Double Exponen'!F33)+'Konstanta b triple'!$U$4*'triple exponen'!F33)</f>
        <v>-712660.19319584966</v>
      </c>
      <c r="G33" s="6">
        <f>$U$1*(($U$2*'Single Exponen'!G33)-('Konstanta b triple'!$U$3*'Double Exponen'!G33)+'Konstanta b triple'!$U$4*'triple exponen'!G33)</f>
        <v>-421209.26466610515</v>
      </c>
      <c r="H33" s="6">
        <f>$U$1*(($U$2*'Single Exponen'!H33)-('Konstanta b triple'!$U$3*'Double Exponen'!H33)+'Konstanta b triple'!$U$4*'triple exponen'!H33)</f>
        <v>-43477.752624243287</v>
      </c>
      <c r="I33" s="6">
        <f>$U$1*(($U$2*'Single Exponen'!I33)-('Konstanta b triple'!$U$3*'Double Exponen'!I33)+'Konstanta b triple'!$U$4*'triple exponen'!I33)</f>
        <v>232773.58235475625</v>
      </c>
      <c r="J33" s="6">
        <f>$U$1*(($U$2*'Single Exponen'!J33)-('Konstanta b triple'!$U$3*'Double Exponen'!J33)+'Konstanta b triple'!$U$4*'triple exponen'!J33)</f>
        <v>318384.52509050083</v>
      </c>
      <c r="K33" s="6">
        <f>$U$1*(($U$2*'Single Exponen'!K33)-('Konstanta b triple'!$U$3*'Double Exponen'!K33)+'Konstanta b triple'!$U$4*'triple exponen'!K33)</f>
        <v>365449.05021377344</v>
      </c>
      <c r="L33" s="6">
        <f>$U$1*(($U$2*'Single Exponen'!L33)-('Konstanta b triple'!$U$3*'Double Exponen'!L33)+'Konstanta b triple'!$U$4*'triple exponen'!L33)</f>
        <v>227085.8954928609</v>
      </c>
      <c r="M33" s="6">
        <f>$U$1*(($U$2*'Single Exponen'!M33)-('Konstanta b triple'!$U$3*'Double Exponen'!M33)+'Konstanta b triple'!$U$4*'triple exponen'!M33)</f>
        <v>11658.270442773279</v>
      </c>
    </row>
    <row r="34" spans="1:13" x14ac:dyDescent="0.3">
      <c r="A34" s="6" t="str">
        <f>A28</f>
        <v>Oil A 1000 LT</v>
      </c>
      <c r="B34" s="6">
        <f>$U$1*(($U$2*'Single Exponen'!B34)-('Konstanta b triple'!$U$3*'Double Exponen'!B34)+'Konstanta b triple'!$U$4*'triple exponen'!B34)</f>
        <v>-1.364242052659392E-11</v>
      </c>
      <c r="C34" s="6">
        <f>$U$1*(($U$2*'Single Exponen'!C34)-('Konstanta b triple'!$U$3*'Double Exponen'!C34)+'Konstanta b triple'!$U$4*'triple exponen'!C34)</f>
        <v>55121.26455</v>
      </c>
      <c r="D34" s="6">
        <f>$U$1*(($U$2*'Single Exponen'!D34)-('Konstanta b triple'!$U$3*'Double Exponen'!D34)+'Konstanta b triple'!$U$4*'triple exponen'!D34)</f>
        <v>31348.794284999982</v>
      </c>
      <c r="E34" s="6">
        <f>$U$1*(($U$2*'Single Exponen'!E34)-('Konstanta b triple'!$U$3*'Double Exponen'!E34)+'Konstanta b triple'!$U$4*'triple exponen'!E34)</f>
        <v>52367.410480499966</v>
      </c>
      <c r="F34" s="6">
        <f>$U$1*(($U$2*'Single Exponen'!F34)-('Konstanta b triple'!$U$3*'Double Exponen'!F34)+'Konstanta b triple'!$U$4*'triple exponen'!F34)</f>
        <v>10874.036891249991</v>
      </c>
      <c r="G34" s="6">
        <f>$U$1*(($U$2*'Single Exponen'!G34)-('Konstanta b triple'!$U$3*'Double Exponen'!G34)+'Konstanta b triple'!$U$4*'triple exponen'!G34)</f>
        <v>93782.406419325009</v>
      </c>
      <c r="H34" s="6">
        <f>$U$1*(($U$2*'Single Exponen'!H34)-('Konstanta b triple'!$U$3*'Double Exponen'!H34)+'Konstanta b triple'!$U$4*'triple exponen'!H34)</f>
        <v>194803.58835774442</v>
      </c>
      <c r="I34" s="6">
        <f>$U$1*(($U$2*'Single Exponen'!I34)-('Konstanta b triple'!$U$3*'Double Exponen'!I34)+'Konstanta b triple'!$U$4*'triple exponen'!I34)</f>
        <v>130756.92212149962</v>
      </c>
      <c r="J34" s="6">
        <f>$U$1*(($U$2*'Single Exponen'!J34)-('Konstanta b triple'!$U$3*'Double Exponen'!J34)+'Konstanta b triple'!$U$4*'triple exponen'!J34)</f>
        <v>-25304.866073882906</v>
      </c>
      <c r="K34" s="6">
        <f>$U$1*(($U$2*'Single Exponen'!K34)-('Konstanta b triple'!$U$3*'Double Exponen'!K34)+'Konstanta b triple'!$U$4*'triple exponen'!K34)</f>
        <v>-39989.33231900548</v>
      </c>
      <c r="L34" s="6">
        <f>$U$1*(($U$2*'Single Exponen'!L34)-('Konstanta b triple'!$U$3*'Double Exponen'!L34)+'Konstanta b triple'!$U$4*'triple exponen'!L34)</f>
        <v>-34845.347911796365</v>
      </c>
      <c r="M34" s="6">
        <f>$U$1*(($U$2*'Single Exponen'!M34)-('Konstanta b triple'!$U$3*'Double Exponen'!M34)+'Konstanta b triple'!$U$4*'triple exponen'!M34)</f>
        <v>-10358.497873968252</v>
      </c>
    </row>
    <row r="35" spans="1:13" x14ac:dyDescent="0.3">
      <c r="A35" s="6" t="str">
        <f>A29</f>
        <v>Oil B 20 LT</v>
      </c>
      <c r="B35" s="6">
        <f>$U$1*(($U$2*'Single Exponen'!B35)-('Konstanta b triple'!$U$3*'Double Exponen'!B35)+'Konstanta b triple'!$U$4*'triple exponen'!B35)</f>
        <v>0</v>
      </c>
      <c r="C35" s="6">
        <f>$U$1*(($U$2*'Single Exponen'!C35)-('Konstanta b triple'!$U$3*'Double Exponen'!C35)+'Konstanta b triple'!$U$4*'triple exponen'!C35)</f>
        <v>11596.349474999992</v>
      </c>
      <c r="D35" s="6">
        <f>$U$1*(($U$2*'Single Exponen'!D35)-('Konstanta b triple'!$U$3*'Double Exponen'!D35)+'Konstanta b triple'!$U$4*'triple exponen'!D35)</f>
        <v>12992.6451825</v>
      </c>
      <c r="E35" s="6">
        <f>$U$1*(($U$2*'Single Exponen'!E35)-('Konstanta b triple'!$U$3*'Double Exponen'!E35)+'Konstanta b triple'!$U$4*'triple exponen'!E35)</f>
        <v>8430.4547572500087</v>
      </c>
      <c r="F35" s="6">
        <f>$U$1*(($U$2*'Single Exponen'!F35)-('Konstanta b triple'!$U$3*'Double Exponen'!F35)+'Konstanta b triple'!$U$4*'triple exponen'!F35)</f>
        <v>121379.02254112497</v>
      </c>
      <c r="G35" s="6">
        <f>$U$1*(($U$2*'Single Exponen'!G35)-('Konstanta b triple'!$U$3*'Double Exponen'!G35)+'Konstanta b triple'!$U$4*'triple exponen'!G35)</f>
        <v>39343.987109812479</v>
      </c>
      <c r="H35" s="6">
        <f>$U$1*(($U$2*'Single Exponen'!H35)-('Konstanta b triple'!$U$3*'Double Exponen'!H35)+'Konstanta b triple'!$U$4*'triple exponen'!H35)</f>
        <v>13322.500000535249</v>
      </c>
      <c r="I35" s="6">
        <f>$U$1*(($U$2*'Single Exponen'!I35)-('Konstanta b triple'!$U$3*'Double Exponen'!I35)+'Konstanta b triple'!$U$4*'triple exponen'!I35)</f>
        <v>28629.265405196926</v>
      </c>
      <c r="J35" s="6">
        <f>$U$1*(($U$2*'Single Exponen'!J35)-('Konstanta b triple'!$U$3*'Double Exponen'!J35)+'Konstanta b triple'!$U$4*'triple exponen'!J35)</f>
        <v>32344.49098217674</v>
      </c>
      <c r="K35" s="6">
        <f>$U$1*(($U$2*'Single Exponen'!K35)-('Konstanta b triple'!$U$3*'Double Exponen'!K35)+'Konstanta b triple'!$U$4*'triple exponen'!K35)</f>
        <v>84325.201313204205</v>
      </c>
      <c r="L35" s="6">
        <f>$U$1*(($U$2*'Single Exponen'!L35)-('Konstanta b triple'!$U$3*'Double Exponen'!L35)+'Konstanta b triple'!$U$4*'triple exponen'!L35)</f>
        <v>13122.150086480051</v>
      </c>
      <c r="M35" s="6">
        <f>$U$1*(($U$2*'Single Exponen'!M35)-('Konstanta b triple'!$U$3*'Double Exponen'!M35)+'Konstanta b triple'!$U$4*'triple exponen'!M35)</f>
        <v>-7002.8539171702014</v>
      </c>
    </row>
    <row r="36" spans="1:13" x14ac:dyDescent="0.3">
      <c r="A36" s="6" t="str">
        <f>A30</f>
        <v>Oil B 200 LT</v>
      </c>
      <c r="B36" s="6">
        <f>$U$1*(($U$2*'Single Exponen'!B36)-('Konstanta b triple'!$U$3*'Double Exponen'!B36)+'Konstanta b triple'!$U$4*'triple exponen'!B36)</f>
        <v>0</v>
      </c>
      <c r="C36" s="6">
        <f>$U$1*(($U$2*'Single Exponen'!C36)-('Konstanta b triple'!$U$3*'Double Exponen'!C36)+'Konstanta b triple'!$U$4*'triple exponen'!C36)</f>
        <v>71831.221109999984</v>
      </c>
      <c r="D36" s="6">
        <f>$U$1*(($U$2*'Single Exponen'!D36)-('Konstanta b triple'!$U$3*'Double Exponen'!D36)+'Konstanta b triple'!$U$4*'triple exponen'!D36)</f>
        <v>74837.637566999983</v>
      </c>
      <c r="E36" s="6">
        <f>$U$1*(($U$2*'Single Exponen'!E36)-('Konstanta b triple'!$U$3*'Double Exponen'!E36)+'Konstanta b triple'!$U$4*'triple exponen'!E36)</f>
        <v>69395.395967099961</v>
      </c>
      <c r="F36" s="6">
        <f>$U$1*(($U$2*'Single Exponen'!F36)-('Konstanta b triple'!$U$3*'Double Exponen'!F36)+'Konstanta b triple'!$U$4*'triple exponen'!F36)</f>
        <v>86733.073174949968</v>
      </c>
      <c r="G36" s="6">
        <f>$U$1*(($U$2*'Single Exponen'!G36)-('Konstanta b triple'!$U$3*'Double Exponen'!G36)+'Konstanta b triple'!$U$4*'triple exponen'!G36)</f>
        <v>59867.263821014982</v>
      </c>
      <c r="H36" s="6">
        <f>$U$1*(($U$2*'Single Exponen'!H36)-('Konstanta b triple'!$U$3*'Double Exponen'!H36)+'Konstanta b triple'!$U$4*'triple exponen'!H36)</f>
        <v>152305.52084603181</v>
      </c>
      <c r="I36" s="6">
        <f>$U$1*(($U$2*'Single Exponen'!I36)-('Konstanta b triple'!$U$3*'Double Exponen'!I36)+'Konstanta b triple'!$U$4*'triple exponen'!I36)</f>
        <v>112279.70283295379</v>
      </c>
      <c r="J36" s="6">
        <f>$U$1*(($U$2*'Single Exponen'!J36)-('Konstanta b triple'!$U$3*'Double Exponen'!J36)+'Konstanta b triple'!$U$4*'triple exponen'!J36)</f>
        <v>81311.096451739562</v>
      </c>
      <c r="K36" s="6">
        <f>$U$1*(($U$2*'Single Exponen'!K36)-('Konstanta b triple'!$U$3*'Double Exponen'!K36)+'Konstanta b triple'!$U$4*'triple exponen'!K36)</f>
        <v>131826.2485867865</v>
      </c>
      <c r="L36" s="6">
        <f>$U$1*(($U$2*'Single Exponen'!L36)-('Konstanta b triple'!$U$3*'Double Exponen'!L36)+'Konstanta b triple'!$U$4*'triple exponen'!L36)</f>
        <v>138586.20639795155</v>
      </c>
      <c r="M36" s="6">
        <f>$U$1*(($U$2*'Single Exponen'!M36)-('Konstanta b triple'!$U$3*'Double Exponen'!M36)+'Konstanta b triple'!$U$4*'triple exponen'!M36)</f>
        <v>111114.87799919605</v>
      </c>
    </row>
    <row r="37" spans="1:13" x14ac:dyDescent="0.3">
      <c r="A37" s="6">
        <f>A31+0.1</f>
        <v>0.7</v>
      </c>
      <c r="B37" s="6" t="str">
        <f t="shared" ref="B37:M37" si="5">B31</f>
        <v>T1</v>
      </c>
      <c r="C37" s="6" t="str">
        <f t="shared" si="5"/>
        <v>T2</v>
      </c>
      <c r="D37" s="6" t="str">
        <f t="shared" si="5"/>
        <v>T3</v>
      </c>
      <c r="E37" s="6" t="str">
        <f t="shared" si="5"/>
        <v>T4</v>
      </c>
      <c r="F37" s="6" t="str">
        <f t="shared" si="5"/>
        <v>T5</v>
      </c>
      <c r="G37" s="6" t="str">
        <f t="shared" si="5"/>
        <v>T6</v>
      </c>
      <c r="H37" s="6" t="str">
        <f t="shared" si="5"/>
        <v>T7</v>
      </c>
      <c r="I37" s="6" t="str">
        <f t="shared" si="5"/>
        <v>T8</v>
      </c>
      <c r="J37" s="6" t="str">
        <f t="shared" si="5"/>
        <v>T9</v>
      </c>
      <c r="K37" s="6" t="str">
        <f t="shared" si="5"/>
        <v>T10</v>
      </c>
      <c r="L37" s="6" t="str">
        <f t="shared" si="5"/>
        <v>T11</v>
      </c>
      <c r="M37" s="6" t="str">
        <f t="shared" si="5"/>
        <v>T12</v>
      </c>
    </row>
    <row r="38" spans="1:13" x14ac:dyDescent="0.3">
      <c r="A38" s="6" t="str">
        <f>A32</f>
        <v>Oil A 20 LT</v>
      </c>
      <c r="B38" s="6">
        <f>$V$1*(($V$2*'Single Exponen'!B38)-('Konstanta b triple'!$V$3*'Double Exponen'!B38)+'Konstanta b triple'!$V$4*'triple exponen'!B38)</f>
        <v>0</v>
      </c>
      <c r="C38" s="6">
        <f>$V$1*(($V$2*'Single Exponen'!C38)-('Konstanta b triple'!$V$3*'Double Exponen'!C38)+'Konstanta b triple'!$V$4*'triple exponen'!C38)</f>
        <v>-46554.790076666686</v>
      </c>
      <c r="D38" s="6">
        <f>$V$1*(($V$2*'Single Exponen'!D38)-('Konstanta b triple'!$V$3*'Double Exponen'!D38)+'Konstanta b triple'!$V$4*'triple exponen'!D38)</f>
        <v>41424.015920000013</v>
      </c>
      <c r="E38" s="6">
        <f>$V$1*(($V$2*'Single Exponen'!E38)-('Konstanta b triple'!$V$3*'Double Exponen'!E38)+'Konstanta b triple'!$V$4*'triple exponen'!E38)</f>
        <v>2381.9064982999894</v>
      </c>
      <c r="F38" s="6">
        <f>$V$1*(($V$2*'Single Exponen'!F38)-('Konstanta b triple'!$V$3*'Double Exponen'!F38)+'Konstanta b triple'!$V$4*'triple exponen'!F38)</f>
        <v>-20029.626135026698</v>
      </c>
      <c r="G38" s="6">
        <f>$V$1*(($V$2*'Single Exponen'!G38)-('Konstanta b triple'!$V$3*'Double Exponen'!G38)+'Konstanta b triple'!$V$4*'triple exponen'!G38)</f>
        <v>-29939.277165282358</v>
      </c>
      <c r="H38" s="6">
        <f>$V$1*(($V$2*'Single Exponen'!H38)-('Konstanta b triple'!$V$3*'Double Exponen'!H38)+'Konstanta b triple'!$V$4*'triple exponen'!H38)</f>
        <v>29751.518186838894</v>
      </c>
      <c r="I38" s="6">
        <f>$V$1*(($V$2*'Single Exponen'!I38)-('Konstanta b triple'!$V$3*'Double Exponen'!I38)+'Konstanta b triple'!$V$4*'triple exponen'!I38)</f>
        <v>238.05373078242863</v>
      </c>
      <c r="J38" s="6">
        <f>$V$1*(($V$2*'Single Exponen'!J38)-('Konstanta b triple'!$V$3*'Double Exponen'!J38)+'Konstanta b triple'!$V$4*'triple exponen'!J38)</f>
        <v>-8469.4845569227582</v>
      </c>
      <c r="K38" s="6">
        <f>$V$1*(($V$2*'Single Exponen'!K38)-('Konstanta b triple'!$V$3*'Double Exponen'!K38)+'Konstanta b triple'!$V$4*'triple exponen'!K38)</f>
        <v>-24983.62616930978</v>
      </c>
      <c r="L38" s="6">
        <f>$V$1*(($V$2*'Single Exponen'!L38)-('Konstanta b triple'!$V$3*'Double Exponen'!L38)+'Konstanta b triple'!$V$4*'triple exponen'!L38)</f>
        <v>30610.244509090051</v>
      </c>
      <c r="M38" s="6">
        <f>$V$1*(($V$2*'Single Exponen'!M38)-('Konstanta b triple'!$V$3*'Double Exponen'!M38)+'Konstanta b triple'!$V$4*'triple exponen'!M38)</f>
        <v>5786.1571861894799</v>
      </c>
    </row>
    <row r="39" spans="1:13" x14ac:dyDescent="0.3">
      <c r="A39" s="6" t="str">
        <f>A33</f>
        <v>Oil A 200 LT</v>
      </c>
      <c r="B39" s="6">
        <f>$V$1*(($V$2*'Single Exponen'!B39)-('Konstanta b triple'!$V$3*'Double Exponen'!B39)+'Konstanta b triple'!$V$4*'triple exponen'!B39)</f>
        <v>4.5272625154919094E-10</v>
      </c>
      <c r="C39" s="6">
        <f>$V$1*(($V$2*'Single Exponen'!C39)-('Konstanta b triple'!$V$3*'Double Exponen'!C39)+'Konstanta b triple'!$V$4*'triple exponen'!C39)</f>
        <v>-374278.82022999966</v>
      </c>
      <c r="D39" s="6">
        <f>$V$1*(($V$2*'Single Exponen'!D39)-('Konstanta b triple'!$V$3*'Double Exponen'!D39)+'Konstanta b triple'!$V$4*'triple exponen'!D39)</f>
        <v>-493866.02739833377</v>
      </c>
      <c r="E39" s="6">
        <f>$V$1*(($V$2*'Single Exponen'!E39)-('Konstanta b triple'!$V$3*'Double Exponen'!E39)+'Konstanta b triple'!$V$4*'triple exponen'!E39)</f>
        <v>206134.45861073327</v>
      </c>
      <c r="F39" s="6">
        <f>$V$1*(($V$2*'Single Exponen'!F39)-('Konstanta b triple'!$V$3*'Double Exponen'!F39)+'Konstanta b triple'!$V$4*'triple exponen'!F39)</f>
        <v>-1444103.0375749127</v>
      </c>
      <c r="G39" s="6">
        <f>$V$1*(($V$2*'Single Exponen'!G39)-('Konstanta b triple'!$V$3*'Double Exponen'!G39)+'Konstanta b triple'!$V$4*'triple exponen'!G39)</f>
        <v>-718099.33664306393</v>
      </c>
      <c r="H39" s="6">
        <f>$V$1*(($V$2*'Single Exponen'!H39)-('Konstanta b triple'!$V$3*'Double Exponen'!H39)+'Konstanta b triple'!$V$4*'triple exponen'!H39)</f>
        <v>32412.968058402312</v>
      </c>
      <c r="I39" s="6">
        <f>$V$1*(($V$2*'Single Exponen'!I39)-('Konstanta b triple'!$V$3*'Double Exponen'!I39)+'Konstanta b triple'!$V$4*'triple exponen'!I39)</f>
        <v>516315.59703249944</v>
      </c>
      <c r="J39" s="6">
        <f>$V$1*(($V$2*'Single Exponen'!J39)-('Konstanta b triple'!$V$3*'Double Exponen'!J39)+'Konstanta b triple'!$V$4*'triple exponen'!J39)</f>
        <v>614801.46523053292</v>
      </c>
      <c r="K39" s="6">
        <f>$V$1*(($V$2*'Single Exponen'!K39)-('Konstanta b triple'!$V$3*'Double Exponen'!K39)+'Konstanta b triple'!$V$4*'triple exponen'!K39)</f>
        <v>672083.779868057</v>
      </c>
      <c r="L39" s="6">
        <f>$V$1*(($V$2*'Single Exponen'!L39)-('Konstanta b triple'!$V$3*'Double Exponen'!L39)+'Konstanta b triple'!$V$4*'triple exponen'!L39)</f>
        <v>370844.54173314734</v>
      </c>
      <c r="M39" s="6">
        <f>$V$1*(($V$2*'Single Exponen'!M39)-('Konstanta b triple'!$V$3*'Double Exponen'!M39)+'Konstanta b triple'!$V$4*'triple exponen'!M39)</f>
        <v>-46140.262630147692</v>
      </c>
    </row>
    <row r="40" spans="1:13" x14ac:dyDescent="0.3">
      <c r="A40" s="6" t="str">
        <f>A34</f>
        <v>Oil A 1000 LT</v>
      </c>
      <c r="B40" s="6">
        <f>$V$1*(($V$2*'Single Exponen'!B40)-('Konstanta b triple'!$V$3*'Double Exponen'!B40)+'Konstanta b triple'!$V$4*'triple exponen'!B40)</f>
        <v>0</v>
      </c>
      <c r="C40" s="6">
        <f>$V$1*(($V$2*'Single Exponen'!C40)-('Konstanta b triple'!$V$3*'Double Exponen'!C40)+'Konstanta b triple'!$V$4*'triple exponen'!C40)</f>
        <v>111983.92461666657</v>
      </c>
      <c r="D40" s="6">
        <f>$V$1*(($V$2*'Single Exponen'!D40)-('Konstanta b triple'!$V$3*'Double Exponen'!D40)+'Konstanta b triple'!$V$4*'triple exponen'!D40)</f>
        <v>53125.495791666697</v>
      </c>
      <c r="E40" s="6">
        <f>$V$1*(($V$2*'Single Exponen'!E40)-('Konstanta b triple'!$V$3*'Double Exponen'!E40)+'Konstanta b triple'!$V$4*'triple exponen'!E40)</f>
        <v>97309.236595666735</v>
      </c>
      <c r="F40" s="6">
        <f>$V$1*(($V$2*'Single Exponen'!F40)-('Konstanta b triple'!$V$3*'Double Exponen'!F40)+'Konstanta b triple'!$V$4*'triple exponen'!F40)</f>
        <v>9418.2978220334026</v>
      </c>
      <c r="G40" s="6">
        <f>$V$1*(($V$2*'Single Exponen'!G40)-('Konstanta b triple'!$V$3*'Double Exponen'!G40)+'Konstanta b triple'!$V$4*'triple exponen'!G40)</f>
        <v>184760.73837023837</v>
      </c>
      <c r="H40" s="6">
        <f>$V$1*(($V$2*'Single Exponen'!H40)-('Konstanta b triple'!$V$3*'Double Exponen'!H40)+'Konstanta b triple'!$V$4*'triple exponen'!H40)</f>
        <v>376118.05037505872</v>
      </c>
      <c r="I40" s="6">
        <f>$V$1*(($V$2*'Single Exponen'!I40)-('Konstanta b triple'!$V$3*'Double Exponen'!I40)+'Konstanta b triple'!$V$4*'triple exponen'!I40)</f>
        <v>222605.0122629228</v>
      </c>
      <c r="J40" s="6">
        <f>$V$1*(($V$2*'Single Exponen'!J40)-('Konstanta b triple'!$V$3*'Double Exponen'!J40)+'Konstanta b triple'!$V$4*'triple exponen'!J40)</f>
        <v>-88979.209833913526</v>
      </c>
      <c r="K40" s="6">
        <f>$V$1*(($V$2*'Single Exponen'!K40)-('Konstanta b triple'!$V$3*'Double Exponen'!K40)+'Konstanta b triple'!$V$4*'triple exponen'!K40)</f>
        <v>-87307.847562798634</v>
      </c>
      <c r="L40" s="6">
        <f>$V$1*(($V$2*'Single Exponen'!L40)-('Konstanta b triple'!$V$3*'Double Exponen'!L40)+'Konstanta b triple'!$V$4*'triple exponen'!L40)</f>
        <v>-64876.615838868958</v>
      </c>
      <c r="M40" s="6">
        <f>$V$1*(($V$2*'Single Exponen'!M40)-('Konstanta b triple'!$V$3*'Double Exponen'!M40)+'Konstanta b triple'!$V$4*'triple exponen'!M40)</f>
        <v>-12637.91414028741</v>
      </c>
    </row>
    <row r="41" spans="1:13" x14ac:dyDescent="0.3">
      <c r="A41" s="6" t="str">
        <f>A35</f>
        <v>Oil B 20 LT</v>
      </c>
      <c r="B41" s="6">
        <f>$V$1*(($V$2*'Single Exponen'!B41)-('Konstanta b triple'!$V$3*'Double Exponen'!B41)+'Konstanta b triple'!$V$4*'triple exponen'!B41)</f>
        <v>0</v>
      </c>
      <c r="C41" s="6">
        <f>$V$1*(($V$2*'Single Exponen'!C41)-('Konstanta b triple'!$V$3*'Double Exponen'!C41)+'Konstanta b triple'!$V$4*'triple exponen'!C41)</f>
        <v>23559.051775000014</v>
      </c>
      <c r="D41" s="6">
        <f>$V$1*(($V$2*'Single Exponen'!D41)-('Konstanta b triple'!$V$3*'Double Exponen'!D41)+'Konstanta b triple'!$V$4*'triple exponen'!D41)</f>
        <v>24173.635295833334</v>
      </c>
      <c r="E41" s="6">
        <f>$V$1*(($V$2*'Single Exponen'!E41)-('Konstanta b triple'!$V$3*'Double Exponen'!E41)+'Konstanta b triple'!$V$4*'triple exponen'!E41)</f>
        <v>13991.101132166668</v>
      </c>
      <c r="F41" s="6">
        <f>$V$1*(($V$2*'Single Exponen'!F41)-('Konstanta b triple'!$V$3*'Double Exponen'!F41)+'Konstanta b triple'!$V$4*'triple exponen'!F41)</f>
        <v>244065.46065731667</v>
      </c>
      <c r="G41" s="6">
        <f>$V$1*(($V$2*'Single Exponen'!G41)-('Konstanta b triple'!$V$3*'Double Exponen'!G41)+'Konstanta b triple'!$V$4*'triple exponen'!G41)</f>
        <v>55937.929728339172</v>
      </c>
      <c r="H41" s="6">
        <f>$V$1*(($V$2*'Single Exponen'!H41)-('Konstanta b triple'!$V$3*'Double Exponen'!H41)+'Konstanta b triple'!$V$4*'triple exponen'!H41)</f>
        <v>12547.792838438092</v>
      </c>
      <c r="I41" s="6">
        <f>$V$1*(($V$2*'Single Exponen'!I41)-('Konstanta b triple'!$V$3*'Double Exponen'!I41)+'Konstanta b triple'!$V$4*'triple exponen'!I41)</f>
        <v>51393.801552046098</v>
      </c>
      <c r="J41" s="6">
        <f>$V$1*(($V$2*'Single Exponen'!J41)-('Konstanta b triple'!$V$3*'Double Exponen'!J41)+'Konstanta b triple'!$V$4*'triple exponen'!J41)</f>
        <v>58262.55927284863</v>
      </c>
      <c r="K41" s="6">
        <f>$V$1*(($V$2*'Single Exponen'!K41)-('Konstanta b triple'!$V$3*'Double Exponen'!K41)+'Konstanta b triple'!$V$4*'triple exponen'!K41)</f>
        <v>162954.37161806406</v>
      </c>
      <c r="L41" s="6">
        <f>$V$1*(($V$2*'Single Exponen'!L41)-('Konstanta b triple'!$V$3*'Double Exponen'!L41)+'Konstanta b triple'!$V$4*'triple exponen'!L41)</f>
        <v>8072.1726442505214</v>
      </c>
      <c r="M41" s="6">
        <f>$V$1*(($V$2*'Single Exponen'!M41)-('Konstanta b triple'!$V$3*'Double Exponen'!M41)+'Konstanta b triple'!$V$4*'triple exponen'!M41)</f>
        <v>-22144.70924190382</v>
      </c>
    </row>
    <row r="42" spans="1:13" x14ac:dyDescent="0.3">
      <c r="A42" s="6" t="str">
        <f>A36</f>
        <v>Oil B 200 LT</v>
      </c>
      <c r="B42" s="6">
        <f>$V$1*(($V$2*'Single Exponen'!B42)-('Konstanta b triple'!$V$3*'Double Exponen'!B42)+'Konstanta b triple'!$V$4*'triple exponen'!B42)</f>
        <v>1.7684619201140271E-12</v>
      </c>
      <c r="C42" s="6">
        <f>$V$1*(($V$2*'Single Exponen'!C42)-('Konstanta b triple'!$V$3*'Double Exponen'!C42)+'Konstanta b triple'!$V$4*'triple exponen'!C42)</f>
        <v>145931.74005666663</v>
      </c>
      <c r="D42" s="6">
        <f>$V$1*(($V$2*'Single Exponen'!D42)-('Konstanta b triple'!$V$3*'Double Exponen'!D42)+'Konstanta b triple'!$V$4*'triple exponen'!D42)</f>
        <v>138275.08425499999</v>
      </c>
      <c r="E42" s="6">
        <f>$V$1*(($V$2*'Single Exponen'!E42)-('Konstanta b triple'!$V$3*'Double Exponen'!E42)+'Konstanta b triple'!$V$4*'triple exponen'!E42)</f>
        <v>122638.19110013336</v>
      </c>
      <c r="F42" s="6">
        <f>$V$1*(($V$2*'Single Exponen'!F42)-('Konstanta b triple'!$V$3*'Double Exponen'!F42)+'Konstanta b triple'!$V$4*'triple exponen'!F42)</f>
        <v>157575.50889747334</v>
      </c>
      <c r="G42" s="6">
        <f>$V$1*(($V$2*'Single Exponen'!G42)-('Konstanta b triple'!$V$3*'Double Exponen'!G42)+'Konstanta b triple'!$V$4*'triple exponen'!G42)</f>
        <v>99592.589212781008</v>
      </c>
      <c r="H42" s="6">
        <f>$V$1*(($V$2*'Single Exponen'!H42)-('Konstanta b triple'!$V$3*'Double Exponen'!H42)+'Konstanta b triple'!$V$4*'triple exponen'!H42)</f>
        <v>291548.85865954071</v>
      </c>
      <c r="I42" s="6">
        <f>$V$1*(($V$2*'Single Exponen'!I42)-('Konstanta b triple'!$V$3*'Double Exponen'!I42)+'Konstanta b triple'!$V$4*'triple exponen'!I42)</f>
        <v>193731.02344428774</v>
      </c>
      <c r="J42" s="6">
        <f>$V$1*(($V$2*'Single Exponen'!J42)-('Konstanta b triple'!$V$3*'Double Exponen'!J42)+'Konstanta b triple'!$V$4*'triple exponen'!J42)</f>
        <v>133683.98356382293</v>
      </c>
      <c r="K42" s="6">
        <f>$V$1*(($V$2*'Single Exponen'!K42)-('Konstanta b triple'!$V$3*'Double Exponen'!K42)+'Konstanta b triple'!$V$4*'triple exponen'!K42)</f>
        <v>243083.44533392254</v>
      </c>
      <c r="L42" s="6">
        <f>$V$1*(($V$2*'Single Exponen'!L42)-('Konstanta b triple'!$V$3*'Double Exponen'!L42)+'Konstanta b triple'!$V$4*'triple exponen'!L42)</f>
        <v>249108.53963466268</v>
      </c>
      <c r="M42" s="6">
        <f>$V$1*(($V$2*'Single Exponen'!M42)-('Konstanta b triple'!$V$3*'Double Exponen'!M42)+'Konstanta b triple'!$V$4*'triple exponen'!M42)</f>
        <v>189758.56235362581</v>
      </c>
    </row>
    <row r="43" spans="1:13" x14ac:dyDescent="0.3">
      <c r="A43" s="6">
        <f>A37+0.1</f>
        <v>0.79999999999999993</v>
      </c>
      <c r="B43" s="6" t="str">
        <f t="shared" ref="B43:M43" si="6">B37</f>
        <v>T1</v>
      </c>
      <c r="C43" s="6" t="str">
        <f t="shared" si="6"/>
        <v>T2</v>
      </c>
      <c r="D43" s="6" t="str">
        <f t="shared" si="6"/>
        <v>T3</v>
      </c>
      <c r="E43" s="6" t="str">
        <f t="shared" si="6"/>
        <v>T4</v>
      </c>
      <c r="F43" s="6" t="str">
        <f t="shared" si="6"/>
        <v>T5</v>
      </c>
      <c r="G43" s="6" t="str">
        <f t="shared" si="6"/>
        <v>T6</v>
      </c>
      <c r="H43" s="6" t="str">
        <f t="shared" si="6"/>
        <v>T7</v>
      </c>
      <c r="I43" s="6" t="str">
        <f t="shared" si="6"/>
        <v>T8</v>
      </c>
      <c r="J43" s="6" t="str">
        <f t="shared" si="6"/>
        <v>T9</v>
      </c>
      <c r="K43" s="6" t="str">
        <f t="shared" si="6"/>
        <v>T10</v>
      </c>
      <c r="L43" s="6" t="str">
        <f t="shared" si="6"/>
        <v>T11</v>
      </c>
      <c r="M43" s="6" t="str">
        <f t="shared" si="6"/>
        <v>T12</v>
      </c>
    </row>
    <row r="44" spans="1:13" x14ac:dyDescent="0.3">
      <c r="A44" s="6" t="str">
        <f>A38</f>
        <v>Oil A 20 LT</v>
      </c>
      <c r="B44" s="6">
        <f>$W$1*(($W$2*'Single Exponen'!B44)-('Konstanta b triple'!$W$3*'Double Exponen'!B44)+'Konstanta b triple'!$W$4*'triple exponen'!B44)</f>
        <v>0</v>
      </c>
      <c r="C44" s="6">
        <f>$W$1*(($W$2*'Single Exponen'!C44)-('Konstanta b triple'!$W$3*'Double Exponen'!C44)+'Konstanta b triple'!$W$4*'triple exponen'!C44)</f>
        <v>-110299.72095999996</v>
      </c>
      <c r="D44" s="6">
        <f>$W$1*(($W$2*'Single Exponen'!D44)-('Konstanta b triple'!$W$3*'Double Exponen'!D44)+'Konstanta b triple'!$W$4*'triple exponen'!D44)</f>
        <v>108712.83891199995</v>
      </c>
      <c r="E44" s="6">
        <f>$W$1*(($W$2*'Single Exponen'!E44)-('Konstanta b triple'!$W$3*'Double Exponen'!E44)+'Konstanta b triple'!$W$4*'triple exponen'!E44)</f>
        <v>-1690.7215103999986</v>
      </c>
      <c r="F44" s="6">
        <f>$W$1*(($W$2*'Single Exponen'!F44)-('Konstanta b triple'!$W$3*'Double Exponen'!F44)+'Konstanta b triple'!$W$4*'triple exponen'!F44)</f>
        <v>-49433.342522880004</v>
      </c>
      <c r="G44" s="6">
        <f>$W$1*(($W$2*'Single Exponen'!G44)-('Konstanta b triple'!$W$3*'Double Exponen'!G44)+'Konstanta b triple'!$W$4*'triple exponen'!G44)</f>
        <v>-66773.384874752039</v>
      </c>
      <c r="H44" s="6">
        <f>$W$1*(($W$2*'Single Exponen'!H44)-('Konstanta b triple'!$W$3*'Double Exponen'!H44)+'Konstanta b triple'!$W$4*'triple exponen'!H44)</f>
        <v>78100.820457599868</v>
      </c>
      <c r="I44" s="6">
        <f>$W$1*(($W$2*'Single Exponen'!I44)-('Konstanta b triple'!$W$3*'Double Exponen'!I44)+'Konstanta b triple'!$W$4*'triple exponen'!I44)</f>
        <v>-4699.5586660429026</v>
      </c>
      <c r="J44" s="6">
        <f>$W$1*(($W$2*'Single Exponen'!J44)-('Konstanta b triple'!$W$3*'Double Exponen'!J44)+'Konstanta b triple'!$W$4*'triple exponen'!J44)</f>
        <v>-21152.081424386812</v>
      </c>
      <c r="K44" s="6">
        <f>$W$1*(($W$2*'Single Exponen'!K44)-('Konstanta b triple'!$W$3*'Double Exponen'!K44)+'Konstanta b triple'!$W$4*'triple exponen'!K44)</f>
        <v>-57482.000688812215</v>
      </c>
      <c r="L44" s="6">
        <f>$W$1*(($W$2*'Single Exponen'!L44)-('Konstanta b triple'!$W$3*'Double Exponen'!L44)+'Konstanta b triple'!$W$4*'triple exponen'!L44)</f>
        <v>78530.312202321322</v>
      </c>
      <c r="M44" s="6">
        <f>$W$1*(($W$2*'Single Exponen'!M44)-('Konstanta b triple'!$W$3*'Double Exponen'!M44)+'Konstanta b triple'!$W$4*'triple exponen'!M44)</f>
        <v>7936.0777672647218</v>
      </c>
    </row>
    <row r="45" spans="1:13" x14ac:dyDescent="0.3">
      <c r="A45" s="6" t="str">
        <f>A39</f>
        <v>Oil A 200 LT</v>
      </c>
      <c r="B45" s="6">
        <f>$W$1*(($W$2*'Single Exponen'!B45)-('Konstanta b triple'!$W$3*'Double Exponen'!B45)+'Konstanta b triple'!$W$4*'triple exponen'!B45)</f>
        <v>0</v>
      </c>
      <c r="C45" s="6">
        <f>$W$1*(($W$2*'Single Exponen'!C45)-('Konstanta b triple'!$W$3*'Double Exponen'!C45)+'Konstanta b triple'!$W$4*'triple exponen'!C45)</f>
        <v>-886758.36288000096</v>
      </c>
      <c r="D45" s="6">
        <f>$W$1*(($W$2*'Single Exponen'!D45)-('Konstanta b triple'!$W$3*'Double Exponen'!D45)+'Konstanta b triple'!$W$4*'triple exponen'!D45)</f>
        <v>-1085118.5104640012</v>
      </c>
      <c r="E45" s="6">
        <f>$W$1*(($W$2*'Single Exponen'!E45)-('Konstanta b triple'!$W$3*'Double Exponen'!E45)+'Konstanta b triple'!$W$4*'triple exponen'!E45)</f>
        <v>617148.26522879873</v>
      </c>
      <c r="F45" s="6">
        <f>$W$1*(($W$2*'Single Exponen'!F45)-('Konstanta b triple'!$W$3*'Double Exponen'!F45)+'Konstanta b triple'!$W$4*'triple exponen'!F45)</f>
        <v>-3443016.7085606377</v>
      </c>
      <c r="G45" s="6">
        <f>$W$1*(($W$2*'Single Exponen'!G45)-('Konstanta b triple'!$W$3*'Double Exponen'!G45)+'Konstanta b triple'!$W$4*'triple exponen'!G45)</f>
        <v>-1377743.9163170578</v>
      </c>
      <c r="H45" s="6">
        <f>$W$1*(($W$2*'Single Exponen'!H45)-('Konstanta b triple'!$W$3*'Double Exponen'!H45)+'Konstanta b triple'!$W$4*'triple exponen'!H45)</f>
        <v>303209.4468803191</v>
      </c>
      <c r="I45" s="6">
        <f>$W$1*(($W$2*'Single Exponen'!I45)-('Konstanta b triple'!$W$3*'Double Exponen'!I45)+'Konstanta b triple'!$W$4*'triple exponen'!I45)</f>
        <v>1260242.9854830538</v>
      </c>
      <c r="J45" s="6">
        <f>$W$1*(($W$2*'Single Exponen'!J45)-('Konstanta b triple'!$W$3*'Double Exponen'!J45)+'Konstanta b triple'!$W$4*'triple exponen'!J45)</f>
        <v>1346611.947948426</v>
      </c>
      <c r="K45" s="6">
        <f>$W$1*(($W$2*'Single Exponen'!K45)-('Konstanta b triple'!$W$3*'Double Exponen'!K45)+'Konstanta b triple'!$W$4*'triple exponen'!K45)</f>
        <v>1431196.2884674242</v>
      </c>
      <c r="L45" s="6">
        <f>$W$1*(($W$2*'Single Exponen'!L45)-('Konstanta b triple'!$W$3*'Double Exponen'!L45)+'Konstanta b triple'!$W$4*'triple exponen'!L45)</f>
        <v>694483.09850567125</v>
      </c>
      <c r="M45" s="6">
        <f>$W$1*(($W$2*'Single Exponen'!M45)-('Konstanta b triple'!$W$3*'Double Exponen'!M45)+'Konstanta b triple'!$W$4*'triple exponen'!M45)</f>
        <v>-229563.63928345378</v>
      </c>
    </row>
    <row r="46" spans="1:13" x14ac:dyDescent="0.3">
      <c r="A46" s="6" t="str">
        <f>A40</f>
        <v>Oil A 1000 LT</v>
      </c>
      <c r="B46" s="6">
        <f>$W$1*(($W$2*'Single Exponen'!B46)-('Konstanta b triple'!$W$3*'Double Exponen'!B46)+'Konstanta b triple'!$W$4*'triple exponen'!B46)</f>
        <v>0</v>
      </c>
      <c r="C46" s="6">
        <f>$W$1*(($W$2*'Single Exponen'!C46)-('Konstanta b triple'!$W$3*'Double Exponen'!C46)+'Konstanta b triple'!$W$4*'triple exponen'!C46)</f>
        <v>265317.39519999991</v>
      </c>
      <c r="D46" s="6">
        <f>$W$1*(($W$2*'Single Exponen'!D46)-('Konstanta b triple'!$W$3*'Double Exponen'!D46)+'Konstanta b triple'!$W$4*'triple exponen'!D46)</f>
        <v>100443.99296000002</v>
      </c>
      <c r="E46" s="6">
        <f>$W$1*(($W$2*'Single Exponen'!E46)-('Konstanta b triple'!$W$3*'Double Exponen'!E46)+'Konstanta b triple'!$W$4*'triple exponen'!E46)</f>
        <v>213508.568768</v>
      </c>
      <c r="F46" s="6">
        <f>$W$1*(($W$2*'Single Exponen'!F46)-('Konstanta b triple'!$W$3*'Double Exponen'!F46)+'Konstanta b triple'!$W$4*'triple exponen'!F46)</f>
        <v>-3113.4347583998892</v>
      </c>
      <c r="G46" s="6">
        <f>$W$1*(($W$2*'Single Exponen'!G46)-('Konstanta b triple'!$W$3*'Double Exponen'!G46)+'Konstanta b triple'!$W$4*'triple exponen'!G46)</f>
        <v>430626.51825343986</v>
      </c>
      <c r="H46" s="6">
        <f>$W$1*(($W$2*'Single Exponen'!H46)-('Konstanta b triple'!$W$3*'Double Exponen'!H46)+'Konstanta b triple'!$W$4*'triple exponen'!H46)</f>
        <v>847778.94330847939</v>
      </c>
      <c r="I46" s="6">
        <f>$W$1*(($W$2*'Single Exponen'!I46)-('Konstanta b triple'!$W$3*'Double Exponen'!I46)+'Konstanta b triple'!$W$4*'triple exponen'!I46)</f>
        <v>433529.48734834534</v>
      </c>
      <c r="J46" s="6">
        <f>$W$1*(($W$2*'Single Exponen'!J46)-('Konstanta b triple'!$W$3*'Double Exponen'!J46)+'Konstanta b triple'!$W$4*'triple exponen'!J46)</f>
        <v>-279735.58191341889</v>
      </c>
      <c r="K46" s="6">
        <f>$W$1*(($W$2*'Single Exponen'!K46)-('Konstanta b triple'!$W$3*'Double Exponen'!K46)+'Konstanta b triple'!$W$4*'triple exponen'!K46)</f>
        <v>-200144.68146767755</v>
      </c>
      <c r="L46" s="6">
        <f>$W$1*(($W$2*'Single Exponen'!L46)-('Konstanta b triple'!$W$3*'Double Exponen'!L46)+'Konstanta b triple'!$W$4*'triple exponen'!L46)</f>
        <v>-132564.86519807292</v>
      </c>
      <c r="M46" s="6">
        <f>$W$1*(($W$2*'Single Exponen'!M46)-('Konstanta b triple'!$W$3*'Double Exponen'!M46)+'Konstanta b triple'!$W$4*'triple exponen'!M46)</f>
        <v>-11069.998719306821</v>
      </c>
    </row>
    <row r="47" spans="1:13" x14ac:dyDescent="0.3">
      <c r="A47" s="6" t="str">
        <f>A41</f>
        <v>Oil B 20 LT</v>
      </c>
      <c r="B47" s="6">
        <f>$W$1*(($W$2*'Single Exponen'!B47)-('Konstanta b triple'!$W$3*'Double Exponen'!B47)+'Konstanta b triple'!$W$4*'triple exponen'!B47)</f>
        <v>9.0949470177292808E-12</v>
      </c>
      <c r="C47" s="6">
        <f>$W$1*(($W$2*'Single Exponen'!C47)-('Konstanta b triple'!$W$3*'Double Exponen'!C47)+'Konstanta b triple'!$W$4*'triple exponen'!C47)</f>
        <v>55817.174399999967</v>
      </c>
      <c r="D47" s="6">
        <f>$W$1*(($W$2*'Single Exponen'!D47)-('Konstanta b triple'!$W$3*'Double Exponen'!D47)+'Konstanta b triple'!$W$4*'triple exponen'!D47)</f>
        <v>51924.739519999996</v>
      </c>
      <c r="E47" s="6">
        <f>$W$1*(($W$2*'Single Exponen'!E47)-('Konstanta b triple'!$W$3*'Double Exponen'!E47)+'Konstanta b triple'!$W$4*'triple exponen'!E47)</f>
        <v>26612.607456000002</v>
      </c>
      <c r="F47" s="6">
        <f>$W$1*(($W$2*'Single Exponen'!F47)-('Konstanta b triple'!$W$3*'Double Exponen'!F47)+'Konstanta b triple'!$W$4*'triple exponen'!F47)</f>
        <v>573794.81712319981</v>
      </c>
      <c r="G47" s="6">
        <f>$W$1*(($W$2*'Single Exponen'!G47)-('Konstanta b triple'!$W$3*'Double Exponen'!G47)+'Konstanta b triple'!$W$4*'triple exponen'!G47)</f>
        <v>76249.095180480042</v>
      </c>
      <c r="H47" s="6">
        <f>$W$1*(($W$2*'Single Exponen'!H47)-('Konstanta b triple'!$W$3*'Double Exponen'!H47)+'Konstanta b triple'!$W$4*'triple exponen'!H47)</f>
        <v>6005.3965137599871</v>
      </c>
      <c r="I47" s="6">
        <f>$W$1*(($W$2*'Single Exponen'!I47)-('Konstanta b triple'!$W$3*'Double Exponen'!I47)+'Konstanta b triple'!$W$4*'triple exponen'!I47)</f>
        <v>114273.68937213115</v>
      </c>
      <c r="J47" s="6">
        <f>$W$1*(($W$2*'Single Exponen'!J47)-('Konstanta b triple'!$W$3*'Double Exponen'!J47)+'Konstanta b triple'!$W$4*'triple exponen'!J47)</f>
        <v>124906.60180476382</v>
      </c>
      <c r="K47" s="6">
        <f>$W$1*(($W$2*'Single Exponen'!K47)-('Konstanta b triple'!$W$3*'Double Exponen'!K47)+'Konstanta b triple'!$W$4*'triple exponen'!K47)</f>
        <v>370281.08967183571</v>
      </c>
      <c r="L47" s="6">
        <f>$W$1*(($W$2*'Single Exponen'!L47)-('Konstanta b triple'!$W$3*'Double Exponen'!L47)+'Konstanta b triple'!$W$4*'triple exponen'!L47)</f>
        <v>-20962.974531122196</v>
      </c>
      <c r="M47" s="6">
        <f>$W$1*(($W$2*'Single Exponen'!M47)-('Konstanta b triple'!$W$3*'Double Exponen'!M47)+'Konstanta b triple'!$W$4*'triple exponen'!M47)</f>
        <v>-62149.588934221669</v>
      </c>
    </row>
    <row r="48" spans="1:13" x14ac:dyDescent="0.3">
      <c r="A48" s="6" t="str">
        <f>A42</f>
        <v>Oil B 200 LT</v>
      </c>
      <c r="B48" s="6">
        <f>$W$1*(($W$2*'Single Exponen'!B48)-('Konstanta b triple'!$W$3*'Double Exponen'!B48)+'Konstanta b triple'!$W$4*'triple exponen'!B48)</f>
        <v>0</v>
      </c>
      <c r="C48" s="6">
        <f>$W$1*(($W$2*'Single Exponen'!C48)-('Konstanta b triple'!$W$3*'Double Exponen'!C48)+'Konstanta b triple'!$W$4*'triple exponen'!C48)</f>
        <v>345748.09983999992</v>
      </c>
      <c r="D48" s="6">
        <f>$W$1*(($W$2*'Single Exponen'!D48)-('Konstanta b triple'!$W$3*'Double Exponen'!D48)+'Konstanta b triple'!$W$4*'triple exponen'!D48)</f>
        <v>294477.20051199995</v>
      </c>
      <c r="E48" s="6">
        <f>$W$1*(($W$2*'Single Exponen'!E48)-('Konstanta b triple'!$W$3*'Double Exponen'!E48)+'Konstanta b triple'!$W$4*'triple exponen'!E48)</f>
        <v>252678.16904959999</v>
      </c>
      <c r="F48" s="6">
        <f>$W$1*(($W$2*'Single Exponen'!F48)-('Konstanta b triple'!$W$3*'Double Exponen'!F48)+'Konstanta b triple'!$W$4*'triple exponen'!F48)</f>
        <v>338075.27755391988</v>
      </c>
      <c r="G48" s="6">
        <f>$W$1*(($W$2*'Single Exponen'!G48)-('Konstanta b triple'!$W$3*'Double Exponen'!G48)+'Konstanta b triple'!$W$4*'triple exponen'!G48)</f>
        <v>193282.61977868804</v>
      </c>
      <c r="H48" s="6">
        <f>$W$1*(($W$2*'Single Exponen'!H48)-('Konstanta b triple'!$W$3*'Double Exponen'!H48)+'Konstanta b triple'!$W$4*'triple exponen'!H48)</f>
        <v>659785.09437651176</v>
      </c>
      <c r="I48" s="6">
        <f>$W$1*(($W$2*'Single Exponen'!I48)-('Konstanta b triple'!$W$3*'Double Exponen'!I48)+'Konstanta b triple'!$W$4*'triple exponen'!I48)</f>
        <v>386746.07164993149</v>
      </c>
      <c r="J48" s="6">
        <f>$W$1*(($W$2*'Single Exponen'!J48)-('Konstanta b triple'!$W$3*'Double Exponen'!J48)+'Konstanta b triple'!$W$4*'triple exponen'!J48)</f>
        <v>258599.46586633893</v>
      </c>
      <c r="K48" s="6">
        <f>$W$1*(($W$2*'Single Exponen'!K48)-('Konstanta b triple'!$W$3*'Double Exponen'!K48)+'Konstanta b triple'!$W$4*'triple exponen'!K48)</f>
        <v>534194.89140382234</v>
      </c>
      <c r="L48" s="6">
        <f>$W$1*(($W$2*'Single Exponen'!L48)-('Konstanta b triple'!$W$3*'Double Exponen'!L48)+'Konstanta b triple'!$W$4*'triple exponen'!L48)</f>
        <v>526845.69953783089</v>
      </c>
      <c r="M48" s="6">
        <f>$W$1*(($W$2*'Single Exponen'!M48)-('Konstanta b triple'!$W$3*'Double Exponen'!M48)+'Konstanta b triple'!$W$4*'triple exponen'!M48)</f>
        <v>380625.9737688395</v>
      </c>
    </row>
    <row r="49" spans="1:13" x14ac:dyDescent="0.3">
      <c r="A49" s="6">
        <f>A43+0.1</f>
        <v>0.89999999999999991</v>
      </c>
      <c r="B49" s="6" t="str">
        <f>B43</f>
        <v>T1</v>
      </c>
      <c r="C49" s="6" t="str">
        <f t="shared" ref="C49:M49" si="7">C43</f>
        <v>T2</v>
      </c>
      <c r="D49" s="6" t="str">
        <f t="shared" si="7"/>
        <v>T3</v>
      </c>
      <c r="E49" s="6" t="str">
        <f t="shared" si="7"/>
        <v>T4</v>
      </c>
      <c r="F49" s="6" t="str">
        <f t="shared" si="7"/>
        <v>T5</v>
      </c>
      <c r="G49" s="6" t="str">
        <f t="shared" si="7"/>
        <v>T6</v>
      </c>
      <c r="H49" s="6" t="str">
        <f t="shared" si="7"/>
        <v>T7</v>
      </c>
      <c r="I49" s="6" t="str">
        <f t="shared" si="7"/>
        <v>T8</v>
      </c>
      <c r="J49" s="6" t="str">
        <f t="shared" si="7"/>
        <v>T9</v>
      </c>
      <c r="K49" s="6" t="str">
        <f t="shared" si="7"/>
        <v>T10</v>
      </c>
      <c r="L49" s="6" t="str">
        <f t="shared" si="7"/>
        <v>T11</v>
      </c>
      <c r="M49" s="6" t="str">
        <f t="shared" si="7"/>
        <v>T12</v>
      </c>
    </row>
    <row r="50" spans="1:13" x14ac:dyDescent="0.3">
      <c r="A50" s="6" t="str">
        <f>A44</f>
        <v>Oil A 20 LT</v>
      </c>
      <c r="B50" s="6">
        <f>$X$1*(($X$2*'Single Exponen'!B50)-('Konstanta b triple'!$X$3*'Double Exponen'!B50)+'Konstanta b triple'!$X$4*'triple exponen'!B50)</f>
        <v>2.4556356947869057E-10</v>
      </c>
      <c r="C50" s="6">
        <f>$X$1*(($X$2*'Single Exponen'!C50)-('Konstanta b triple'!$X$3*'Double Exponen'!C50)+'Konstanta b triple'!$X$4*'triple exponen'!C50)</f>
        <v>-422268.41349000006</v>
      </c>
      <c r="D50" s="6">
        <f>$X$1*(($X$2*'Single Exponen'!D50)-('Konstanta b triple'!$X$3*'Double Exponen'!D50)+'Konstanta b triple'!$X$4*'triple exponen'!D50)</f>
        <v>457302.08847599966</v>
      </c>
      <c r="E50" s="6">
        <f>$X$1*(($X$2*'Single Exponen'!E50)-('Konstanta b triple'!$X$3*'Double Exponen'!E50)+'Konstanta b triple'!$X$4*'triple exponen'!E50)</f>
        <v>-42924.349383300287</v>
      </c>
      <c r="F50" s="6">
        <f>$X$1*(($X$2*'Single Exponen'!F50)-('Konstanta b triple'!$X$3*'Double Exponen'!F50)+'Konstanta b triple'!$X$4*'triple exponen'!F50)</f>
        <v>-192224.89866348007</v>
      </c>
      <c r="G50" s="6">
        <f>$X$1*(($X$2*'Single Exponen'!G50)-('Konstanta b triple'!$X$3*'Double Exponen'!G50)+'Konstanta b triple'!$X$4*'triple exponen'!G50)</f>
        <v>-237503.3904757172</v>
      </c>
      <c r="H50" s="6">
        <f>$X$1*(($X$2*'Single Exponen'!H50)-('Konstanta b triple'!$X$3*'Double Exponen'!H50)+'Konstanta b triple'!$X$4*'triple exponen'!H50)</f>
        <v>325678.79326832289</v>
      </c>
      <c r="I50" s="6">
        <f>$X$1*(($X$2*'Single Exponen'!I50)-('Konstanta b triple'!$X$3*'Double Exponen'!I50)+'Konstanta b triple'!$X$4*'triple exponen'!I50)</f>
        <v>-44461.482922430179</v>
      </c>
      <c r="J50" s="6">
        <f>$X$1*(($X$2*'Single Exponen'!J50)-('Konstanta b triple'!$X$3*'Double Exponen'!J50)+'Konstanta b triple'!$X$4*'triple exponen'!J50)</f>
        <v>-81844.902654936232</v>
      </c>
      <c r="K50" s="6">
        <f>$X$1*(($X$2*'Single Exponen'!K50)-('Konstanta b triple'!$X$3*'Double Exponen'!K50)+'Konstanta b triple'!$X$4*'triple exponen'!K50)</f>
        <v>-212264.52543575296</v>
      </c>
      <c r="L50" s="6">
        <f>$X$1*(($X$2*'Single Exponen'!L50)-('Konstanta b triple'!$X$3*'Double Exponen'!L50)+'Konstanta b triple'!$X$4*'triple exponen'!L50)</f>
        <v>322838.2169388074</v>
      </c>
      <c r="M50" s="6">
        <f>$X$1*(($X$2*'Single Exponen'!M50)-('Konstanta b triple'!$X$3*'Double Exponen'!M50)+'Konstanta b triple'!$X$4*'triple exponen'!M50)</f>
        <v>3308.9495065869046</v>
      </c>
    </row>
    <row r="51" spans="1:13" x14ac:dyDescent="0.3">
      <c r="A51" s="6" t="str">
        <f>A45</f>
        <v>Oil A 200 LT</v>
      </c>
      <c r="B51" s="6">
        <f>$X$1*(($X$2*'Single Exponen'!B51)-('Konstanta b triple'!$X$3*'Double Exponen'!B51)+'Konstanta b triple'!$X$4*'triple exponen'!B51)</f>
        <v>5.2386894822120658E-9</v>
      </c>
      <c r="C51" s="6">
        <f>$X$1*(($X$2*'Single Exponen'!C51)-('Konstanta b triple'!$X$3*'Double Exponen'!C51)+'Konstanta b triple'!$X$4*'triple exponen'!C51)</f>
        <v>-3394841.2904700106</v>
      </c>
      <c r="D51" s="6">
        <f>$X$1*(($X$2*'Single Exponen'!D51)-('Konstanta b triple'!$X$3*'Double Exponen'!D51)+'Konstanta b triple'!$X$4*'triple exponen'!D51)</f>
        <v>-3823741.8119969927</v>
      </c>
      <c r="E51" s="6">
        <f>$X$1*(($X$2*'Single Exponen'!E51)-('Konstanta b triple'!$X$3*'Double Exponen'!E51)+'Konstanta b triple'!$X$4*'triple exponen'!E51)</f>
        <v>2799785.4844625955</v>
      </c>
      <c r="F51" s="6">
        <f>$X$1*(($X$2*'Single Exponen'!F51)-('Konstanta b triple'!$X$3*'Double Exponen'!F51)+'Konstanta b triple'!$X$4*'triple exponen'!F51)</f>
        <v>-13367935.65924594</v>
      </c>
      <c r="G51" s="6">
        <f>$X$1*(($X$2*'Single Exponen'!G51)-('Konstanta b triple'!$X$3*'Double Exponen'!G51)+'Konstanta b triple'!$X$4*'triple exponen'!G51)</f>
        <v>-4009781.1557564051</v>
      </c>
      <c r="H51" s="6">
        <f>$X$1*(($X$2*'Single Exponen'!H51)-('Konstanta b triple'!$X$3*'Double Exponen'!H51)+'Konstanta b triple'!$X$4*'triple exponen'!H51)</f>
        <v>1799372.852114849</v>
      </c>
      <c r="I51" s="6">
        <f>$X$1*(($X$2*'Single Exponen'!I51)-('Konstanta b triple'!$X$3*'Double Exponen'!I51)+'Konstanta b triple'!$X$4*'triple exponen'!I51)</f>
        <v>4774810.9933168385</v>
      </c>
      <c r="J51" s="6">
        <f>$X$1*(($X$2*'Single Exponen'!J51)-('Konstanta b triple'!$X$3*'Double Exponen'!J51)+'Konstanta b triple'!$X$4*'triple exponen'!J51)</f>
        <v>4680692.4481848907</v>
      </c>
      <c r="K51" s="6">
        <f>$X$1*(($X$2*'Single Exponen'!K51)-('Konstanta b triple'!$X$3*'Double Exponen'!K51)+'Konstanta b triple'!$X$4*'triple exponen'!K51)</f>
        <v>4930323.3426022055</v>
      </c>
      <c r="L51" s="6">
        <f>$X$1*(($X$2*'Single Exponen'!L51)-('Konstanta b triple'!$X$3*'Double Exponen'!L51)+'Konstanta b triple'!$X$4*'triple exponen'!L51)</f>
        <v>2071057.2538471457</v>
      </c>
      <c r="M51" s="6">
        <f>$X$1*(($X$2*'Single Exponen'!M51)-('Konstanta b triple'!$X$3*'Double Exponen'!M51)+'Konstanta b triple'!$X$4*'triple exponen'!M51)</f>
        <v>-1195803.7565988924</v>
      </c>
    </row>
    <row r="52" spans="1:13" x14ac:dyDescent="0.3">
      <c r="A52" s="6" t="str">
        <f>A46</f>
        <v>Oil A 1000 LT</v>
      </c>
      <c r="B52" s="6">
        <f>$X$1*(($X$2*'Single Exponen'!B52)-('Konstanta b triple'!$X$3*'Double Exponen'!B52)+'Konstanta b triple'!$X$4*'triple exponen'!B52)</f>
        <v>0</v>
      </c>
      <c r="C52" s="6">
        <f>$X$1*(($X$2*'Single Exponen'!C52)-('Konstanta b triple'!$X$3*'Double Exponen'!C52)+'Konstanta b triple'!$X$4*'triple exponen'!C52)</f>
        <v>1015733.8075499999</v>
      </c>
      <c r="D52" s="6">
        <f>$X$1*(($X$2*'Single Exponen'!D52)-('Konstanta b triple'!$X$3*'Double Exponen'!D52)+'Konstanta b triple'!$X$4*'triple exponen'!D52)</f>
        <v>285652.87510499998</v>
      </c>
      <c r="E52" s="6">
        <f>$X$1*(($X$2*'Single Exponen'!E52)-('Konstanta b triple'!$X$3*'Double Exponen'!E52)+'Konstanta b triple'!$X$4*'triple exponen'!E52)</f>
        <v>770174.79893100052</v>
      </c>
      <c r="F52" s="6">
        <f>$X$1*(($X$2*'Single Exponen'!F52)-('Konstanta b triple'!$X$3*'Double Exponen'!F52)+'Konstanta b triple'!$X$4*'triple exponen'!F52)</f>
        <v>-96162.572727900028</v>
      </c>
      <c r="G52" s="6">
        <f>$X$1*(($X$2*'Single Exponen'!G52)-('Konstanta b triple'!$X$3*'Double Exponen'!G52)+'Konstanta b triple'!$X$4*'triple exponen'!G52)</f>
        <v>1641428.1988783651</v>
      </c>
      <c r="H52" s="6">
        <f>$X$1*(($X$2*'Single Exponen'!H52)-('Konstanta b triple'!$X$3*'Double Exponen'!H52)+'Konstanta b triple'!$X$4*'triple exponen'!H52)</f>
        <v>3084410.7683248799</v>
      </c>
      <c r="I52" s="6">
        <f>$X$1*(($X$2*'Single Exponen'!I52)-('Konstanta b triple'!$X$3*'Double Exponen'!I52)+'Konstanta b triple'!$X$4*'triple exponen'!I52)</f>
        <v>1327801.0179659282</v>
      </c>
      <c r="J52" s="6">
        <f>$X$1*(($X$2*'Single Exponen'!J52)-('Konstanta b triple'!$X$3*'Double Exponen'!J52)+'Konstanta b triple'!$X$4*'triple exponen'!J52)</f>
        <v>-1265333.4581293</v>
      </c>
      <c r="K52" s="6">
        <f>$X$1*(($X$2*'Single Exponen'!K52)-('Konstanta b triple'!$X$3*'Double Exponen'!K52)+'Konstanta b triple'!$X$4*'triple exponen'!K52)</f>
        <v>-681191.93394083274</v>
      </c>
      <c r="L52" s="6">
        <f>$X$1*(($X$2*'Single Exponen'!L52)-('Konstanta b triple'!$X$3*'Double Exponen'!L52)+'Konstanta b triple'!$X$4*'triple exponen'!L52)</f>
        <v>-424499.14827865578</v>
      </c>
      <c r="M52" s="6">
        <f>$X$1*(($X$2*'Single Exponen'!M52)-('Konstanta b triple'!$X$3*'Double Exponen'!M52)+'Konstanta b triple'!$X$4*'triple exponen'!M52)</f>
        <v>15236.31206907259</v>
      </c>
    </row>
    <row r="53" spans="1:13" x14ac:dyDescent="0.3">
      <c r="A53" s="6" t="str">
        <f>A47</f>
        <v>Oil B 20 LT</v>
      </c>
      <c r="B53" s="6">
        <f>$X$1*(($X$2*'Single Exponen'!B53)-('Konstanta b triple'!$X$3*'Double Exponen'!B53)+'Konstanta b triple'!$X$4*'triple exponen'!B53)</f>
        <v>4.0927261579781764E-11</v>
      </c>
      <c r="C53" s="6">
        <f>$X$1*(($X$2*'Single Exponen'!C53)-('Konstanta b triple'!$X$3*'Double Exponen'!C53)+'Konstanta b triple'!$X$4*'triple exponen'!C53)</f>
        <v>213688.93297500003</v>
      </c>
      <c r="D53" s="6">
        <f>$X$1*(($X$2*'Single Exponen'!D53)-('Konstanta b triple'!$X$3*'Double Exponen'!D53)+'Konstanta b triple'!$X$4*'triple exponen'!D53)</f>
        <v>177984.10847250003</v>
      </c>
      <c r="E53" s="6">
        <f>$X$1*(($X$2*'Single Exponen'!E53)-('Konstanta b triple'!$X$3*'Double Exponen'!E53)+'Konstanta b triple'!$X$4*'triple exponen'!E53)</f>
        <v>80473.067014500048</v>
      </c>
      <c r="F53" s="6">
        <f>$X$1*(($X$2*'Single Exponen'!F53)-('Konstanta b triple'!$X$3*'Double Exponen'!F53)+'Konstanta b triple'!$X$4*'triple exponen'!F53)</f>
        <v>2184664.53201795</v>
      </c>
      <c r="G53" s="6">
        <f>$X$1*(($X$2*'Single Exponen'!G53)-('Konstanta b triple'!$X$3*'Double Exponen'!G53)+'Konstanta b triple'!$X$4*'triple exponen'!G53)</f>
        <v>76865.870633242812</v>
      </c>
      <c r="H53" s="6">
        <f>$X$1*(($X$2*'Single Exponen'!H53)-('Konstanta b triple'!$X$3*'Double Exponen'!H53)+'Konstanta b triple'!$X$4*'triple exponen'!H53)</f>
        <v>-26695.443168713085</v>
      </c>
      <c r="I53" s="6">
        <f>$X$1*(($X$2*'Single Exponen'!I53)-('Konstanta b triple'!$X$3*'Double Exponen'!I53)+'Konstanta b triple'!$X$4*'triple exponen'!I53)</f>
        <v>430333.18937226071</v>
      </c>
      <c r="J53" s="6">
        <f>$X$1*(($X$2*'Single Exponen'!J53)-('Konstanta b triple'!$X$3*'Double Exponen'!J53)+'Konstanta b triple'!$X$4*'triple exponen'!J53)</f>
        <v>434893.37277224154</v>
      </c>
      <c r="K53" s="6">
        <f>$X$1*(($X$2*'Single Exponen'!K53)-('Konstanta b triple'!$X$3*'Double Exponen'!K53)+'Konstanta b triple'!$X$4*'triple exponen'!K53)</f>
        <v>1366739.3972802174</v>
      </c>
      <c r="L53" s="6">
        <f>$X$1*(($X$2*'Single Exponen'!L53)-('Konstanta b triple'!$X$3*'Double Exponen'!L53)+'Konstanta b triple'!$X$4*'triple exponen'!L53)</f>
        <v>-223285.27041413586</v>
      </c>
      <c r="M53" s="6">
        <f>$X$1*(($X$2*'Single Exponen'!M53)-('Konstanta b triple'!$X$3*'Double Exponen'!M53)+'Konstanta b triple'!$X$4*'triple exponen'!M53)</f>
        <v>-244264.12229384098</v>
      </c>
    </row>
    <row r="54" spans="1:13" x14ac:dyDescent="0.3">
      <c r="A54" s="6" t="str">
        <f>A48</f>
        <v>Oil B 200 LT</v>
      </c>
      <c r="B54" s="6">
        <f>$X$1*(($X$2*'Single Exponen'!B54)-('Konstanta b triple'!$X$3*'Double Exponen'!B54)+'Konstanta b triple'!$X$4*'triple exponen'!B54)</f>
        <v>-1.0231815394945441E-11</v>
      </c>
      <c r="C54" s="6">
        <f>$X$1*(($X$2*'Single Exponen'!C54)-('Konstanta b triple'!$X$3*'Double Exponen'!C54)+'Konstanta b triple'!$X$4*'triple exponen'!C54)</f>
        <v>1323652.5017099997</v>
      </c>
      <c r="D54" s="6">
        <f>$X$1*(($X$2*'Single Exponen'!D54)-('Konstanta b triple'!$X$3*'Double Exponen'!D54)+'Konstanta b triple'!$X$4*'triple exponen'!D54)</f>
        <v>998507.63321099977</v>
      </c>
      <c r="E54" s="6">
        <f>$X$1*(($X$2*'Single Exponen'!E54)-('Konstanta b triple'!$X$3*'Double Exponen'!E54)+'Konstanta b triple'!$X$4*'triple exponen'!E54)</f>
        <v>844849.41498720006</v>
      </c>
      <c r="F54" s="6">
        <f>$X$1*(($X$2*'Single Exponen'!F54)-('Konstanta b triple'!$X$3*'Double Exponen'!F54)+'Konstanta b triple'!$X$4*'triple exponen'!F54)</f>
        <v>1187991.2637412194</v>
      </c>
      <c r="G54" s="6">
        <f>$X$1*(($X$2*'Single Exponen'!G54)-('Konstanta b triple'!$X$3*'Double Exponen'!G54)+'Konstanta b triple'!$X$4*'triple exponen'!G54)</f>
        <v>603446.91868167301</v>
      </c>
      <c r="H54" s="6">
        <f>$X$1*(($X$2*'Single Exponen'!H54)-('Konstanta b triple'!$X$3*'Double Exponen'!H54)+'Konstanta b triple'!$X$4*'triple exponen'!H54)</f>
        <v>2440367.120173892</v>
      </c>
      <c r="I54" s="6">
        <f>$X$1*(($X$2*'Single Exponen'!I54)-('Konstanta b triple'!$X$3*'Double Exponen'!I54)+'Konstanta b triple'!$X$4*'triple exponen'!I54)</f>
        <v>1226247.9478604353</v>
      </c>
      <c r="J54" s="6">
        <f>$X$1*(($X$2*'Single Exponen'!J54)-('Konstanta b triple'!$X$3*'Double Exponen'!J54)+'Konstanta b triple'!$X$4*'triple exponen'!J54)</f>
        <v>820719.15692157403</v>
      </c>
      <c r="K54" s="6">
        <f>$X$1*(($X$2*'Single Exponen'!K54)-('Konstanta b triple'!$X$3*'Double Exponen'!K54)+'Konstanta b triple'!$X$4*'triple exponen'!K54)</f>
        <v>1931976.9824618136</v>
      </c>
      <c r="L54" s="6">
        <f>$X$1*(($X$2*'Single Exponen'!L54)-('Konstanta b triple'!$X$3*'Double Exponen'!L54)+'Konstanta b triple'!$X$4*'triple exponen'!L54)</f>
        <v>1806681.9104436398</v>
      </c>
      <c r="M54" s="6">
        <f>$X$1*(($X$2*'Single Exponen'!M54)-('Konstanta b triple'!$X$3*'Double Exponen'!M54)+'Konstanta b triple'!$X$4*'triple exponen'!M54)</f>
        <v>1240027.0345725529</v>
      </c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3C9A1-696C-4E0A-B5F5-47CFF9F5CAC5}">
  <dimension ref="A1:X54"/>
  <sheetViews>
    <sheetView topLeftCell="A7" workbookViewId="0">
      <selection activeCell="A126" activeCellId="26" sqref="A2:M9 A13:M18 A21:M21 A23:M30 A34:M39 A42:M42 A44:M51 A55:M60 A63:M63 A65:M72 A76:M81 A84:M84 A86:M93 A97:M102 A105:M105 A107:M114 A118:M123 A128:M135 A139:M144 A147:M147 A149:M156 A160:M165 A168:M168 A170:M177 A181:M186 A189:M189 A126:M126"/>
    </sheetView>
  </sheetViews>
  <sheetFormatPr defaultColWidth="8.88671875" defaultRowHeight="14.4" x14ac:dyDescent="0.3"/>
  <cols>
    <col min="1" max="1" width="14.33203125" style="6" bestFit="1" customWidth="1"/>
    <col min="2" max="2" width="9.109375" style="6" bestFit="1" customWidth="1"/>
    <col min="3" max="4" width="11.109375" style="6" bestFit="1" customWidth="1"/>
    <col min="5" max="5" width="10.44140625" style="6" bestFit="1" customWidth="1"/>
    <col min="6" max="6" width="12.109375" style="6" bestFit="1" customWidth="1"/>
    <col min="7" max="11" width="11.109375" style="6" bestFit="1" customWidth="1"/>
    <col min="12" max="12" width="10.44140625" style="6" bestFit="1" customWidth="1"/>
    <col min="13" max="13" width="11.109375" style="6" bestFit="1" customWidth="1"/>
    <col min="14" max="15" width="8.88671875" style="6"/>
    <col min="16" max="16" width="5.6640625" style="6" bestFit="1" customWidth="1"/>
    <col min="17" max="24" width="9.109375" style="6" bestFit="1" customWidth="1"/>
    <col min="25" max="16384" width="8.88671875" style="6"/>
  </cols>
  <sheetData>
    <row r="1" spans="1:24" x14ac:dyDescent="0.3">
      <c r="A1" s="7">
        <f>'Konstanta b triple'!A1</f>
        <v>0.1</v>
      </c>
      <c r="B1" s="7" t="str">
        <f>'Konstanta b triple'!B1</f>
        <v>T1</v>
      </c>
      <c r="C1" s="7" t="str">
        <f>'Konstanta b triple'!C1</f>
        <v>T2</v>
      </c>
      <c r="D1" s="7" t="str">
        <f>'Konstanta b triple'!D1</f>
        <v>T3</v>
      </c>
      <c r="E1" s="7" t="str">
        <f>'Konstanta b triple'!E1</f>
        <v>T4</v>
      </c>
      <c r="F1" s="7" t="str">
        <f>'Konstanta b triple'!F1</f>
        <v>T5</v>
      </c>
      <c r="G1" s="7" t="str">
        <f>'Konstanta b triple'!G1</f>
        <v>T6</v>
      </c>
      <c r="H1" s="7" t="str">
        <f>'Konstanta b triple'!H1</f>
        <v>T7</v>
      </c>
      <c r="I1" s="7" t="str">
        <f>'Konstanta b triple'!I1</f>
        <v>T8</v>
      </c>
      <c r="J1" s="7" t="str">
        <f>'Konstanta b triple'!J1</f>
        <v>T9</v>
      </c>
      <c r="K1" s="7" t="str">
        <f>'Konstanta b triple'!K1</f>
        <v>T10</v>
      </c>
      <c r="L1" s="7" t="str">
        <f>'Konstanta b triple'!L1</f>
        <v>T11</v>
      </c>
      <c r="M1" s="7" t="str">
        <f>'Konstanta b triple'!M1</f>
        <v>T12</v>
      </c>
      <c r="P1" s="6">
        <f>((0.1)^2)/(1-0.1)^2</f>
        <v>1.234567901234568E-2</v>
      </c>
      <c r="Q1" s="6">
        <f>((0.2)^2)/(1-0.2)^2</f>
        <v>6.25E-2</v>
      </c>
      <c r="R1" s="6">
        <f>((0.3)^2)/(1-0.3)^2</f>
        <v>0.18367346938775511</v>
      </c>
      <c r="S1" s="6">
        <f>((0.4)^2)/(1-0.4)^2</f>
        <v>0.44444444444444453</v>
      </c>
      <c r="T1" s="6">
        <f>((0.5)^2)/(1-0.5)^2</f>
        <v>1</v>
      </c>
      <c r="U1" s="6">
        <f>((0.6)^2)/(1-0.6)^2</f>
        <v>2.2499999999999996</v>
      </c>
      <c r="V1" s="6">
        <f>((0.7)^2)/(1-0.7)^2</f>
        <v>5.444444444444442</v>
      </c>
      <c r="W1" s="6">
        <f>((0.8)^2)/(1-0.8)^2</f>
        <v>16.000000000000011</v>
      </c>
      <c r="X1" s="6">
        <f>((0.9)^2)/(1-0.9)^2</f>
        <v>81.000000000000043</v>
      </c>
    </row>
    <row r="2" spans="1:24" x14ac:dyDescent="0.3">
      <c r="A2" s="7" t="str">
        <f>'Konstanta b triple'!A2</f>
        <v>Oil A 20 LT</v>
      </c>
      <c r="B2" s="7">
        <f>$P$1*('Single Exponen'!B2-('Konstanta c triple'!$P$2*'Double Exponen'!B2)+'triple exponen'!B2)</f>
        <v>0</v>
      </c>
      <c r="C2" s="7">
        <f>$P$1*('Single Exponen'!C2-('Konstanta c triple'!$P$2*'Double Exponen'!C2)+'triple exponen'!C2)</f>
        <v>-7.7983400000000005</v>
      </c>
      <c r="D2" s="7">
        <f>$P$1*('Single Exponen'!D2-('Konstanta c triple'!$P$2*'Double Exponen'!D2)+'triple exponen'!D2)</f>
        <v>2.9789119999999976</v>
      </c>
      <c r="E2" s="7">
        <f>$P$1*('Single Exponen'!E2-('Konstanta c triple'!$P$2*'Double Exponen'!E2)+'triple exponen'!E2)</f>
        <v>0.83206860000001026</v>
      </c>
      <c r="F2" s="7">
        <f>$P$1*('Single Exponen'!F2-('Konstanta c triple'!$P$2*'Double Exponen'!F2)+'triple exponen'!F2)</f>
        <v>-2.7576008000000183</v>
      </c>
      <c r="G2" s="7">
        <f>$P$1*('Single Exponen'!G2-('Konstanta c triple'!$P$2*'Double Exponen'!G2)+'triple exponen'!G2)</f>
        <v>-6.2008120100000266</v>
      </c>
      <c r="H2" s="7">
        <f>$P$1*('Single Exponen'!H2-('Konstanta c triple'!$P$2*'Double Exponen'!H2)+'triple exponen'!H2)</f>
        <v>1.5556955263999965</v>
      </c>
      <c r="I2" s="7">
        <f>$P$1*('Single Exponen'!I2-('Konstanta c triple'!$P$2*'Double Exponen'!I2)+'triple exponen'!I2)</f>
        <v>-4.2699877620000257E-2</v>
      </c>
      <c r="J2" s="7">
        <f>$P$1*('Single Exponen'!J2-('Konstanta c triple'!$P$2*'Double Exponen'!J2)+'triple exponen'!J2)</f>
        <v>-1.3504317540160338</v>
      </c>
      <c r="K2" s="7">
        <f>$P$1*('Single Exponen'!K2-('Konstanta c triple'!$P$2*'Double Exponen'!K2)+'triple exponen'!K2)</f>
        <v>-4.7363829944810236</v>
      </c>
      <c r="L2" s="7">
        <f>$P$1*('Single Exponen'!L2-('Konstanta c triple'!$P$2*'Double Exponen'!L2)+'triple exponen'!L2)</f>
        <v>2.6890068663751778</v>
      </c>
      <c r="M2" s="7">
        <f>$P$1*('Single Exponen'!M2-('Konstanta c triple'!$P$2*'Double Exponen'!M2)+'triple exponen'!M2)</f>
        <v>1.7970944671241691</v>
      </c>
      <c r="P2" s="6">
        <v>2</v>
      </c>
      <c r="Q2" s="6">
        <v>2</v>
      </c>
      <c r="R2" s="6">
        <v>2</v>
      </c>
      <c r="S2" s="6">
        <v>2</v>
      </c>
      <c r="T2" s="6">
        <v>2</v>
      </c>
      <c r="U2" s="6">
        <v>2</v>
      </c>
      <c r="V2" s="6">
        <v>2</v>
      </c>
      <c r="W2" s="6">
        <v>2</v>
      </c>
      <c r="X2" s="6">
        <v>2</v>
      </c>
    </row>
    <row r="3" spans="1:24" x14ac:dyDescent="0.3">
      <c r="A3" s="7" t="str">
        <f>'Konstanta b triple'!A3</f>
        <v>Oil A 200 LT</v>
      </c>
      <c r="B3" s="7">
        <f>$P$1*('Single Exponen'!B3-('Konstanta c triple'!$P$2*'Double Exponen'!B3)+'triple exponen'!B3)</f>
        <v>0</v>
      </c>
      <c r="C3" s="7">
        <f>$P$1*('Single Exponen'!C3-('Konstanta c triple'!$P$2*'Double Exponen'!C3)+'triple exponen'!C3)</f>
        <v>-62.695020000000468</v>
      </c>
      <c r="D3" s="7">
        <f>$P$1*('Single Exponen'!D3-('Konstanta c triple'!$P$2*'Double Exponen'!D3)+'triple exponen'!D3)</f>
        <v>-114.56331400000089</v>
      </c>
      <c r="E3" s="7">
        <f>$P$1*('Single Exponen'!E3-('Konstanta c triple'!$P$2*'Double Exponen'!E3)+'triple exponen'!E3)</f>
        <v>-32.325149200000105</v>
      </c>
      <c r="F3" s="7">
        <f>$P$1*('Single Exponen'!F3-('Konstanta c triple'!$P$2*'Double Exponen'!F3)+'triple exponen'!F3)</f>
        <v>-276.08335939999944</v>
      </c>
      <c r="G3" s="7">
        <f>$P$1*('Single Exponen'!G3-('Konstanta c triple'!$P$2*'Double Exponen'!G3)+'triple exponen'!G3)</f>
        <v>-268.37487372999976</v>
      </c>
      <c r="H3" s="7">
        <f>$P$1*('Single Exponen'!H3-('Konstanta c triple'!$P$2*'Double Exponen'!H3)+'triple exponen'!H3)</f>
        <v>-169.27996949580094</v>
      </c>
      <c r="I3" s="7">
        <f>$P$1*('Single Exponen'!I3-('Konstanta c triple'!$P$2*'Double Exponen'!I3)+'triple exponen'!I3)</f>
        <v>-42.994443477360669</v>
      </c>
      <c r="J3" s="7">
        <f>$P$1*('Single Exponen'!J3-('Konstanta c triple'!$P$2*'Double Exponen'!J3)+'triple exponen'!J3)</f>
        <v>52.547205536750603</v>
      </c>
      <c r="K3" s="7">
        <f>$P$1*('Single Exponen'!K3-('Konstanta c triple'!$P$2*'Double Exponen'!K3)+'triple exponen'!K3)</f>
        <v>134.19277483677595</v>
      </c>
      <c r="L3" s="7">
        <f>$P$1*('Single Exponen'!L3-('Konstanta c triple'!$P$2*'Double Exponen'!L3)+'triple exponen'!L3)</f>
        <v>145.72307330999456</v>
      </c>
      <c r="M3" s="7">
        <f>$P$1*('Single Exponen'!M3-('Konstanta c triple'!$P$2*'Double Exponen'!M3)+'triple exponen'!M3)</f>
        <v>98.502947919910071</v>
      </c>
    </row>
    <row r="4" spans="1:24" x14ac:dyDescent="0.3">
      <c r="A4" s="7" t="str">
        <f>'Konstanta b triple'!A4</f>
        <v>Oil A 1000 LT</v>
      </c>
      <c r="B4" s="7">
        <f>$P$1*('Single Exponen'!B4-('Konstanta c triple'!$P$2*'Double Exponen'!B4)+'triple exponen'!B4)</f>
        <v>0</v>
      </c>
      <c r="C4" s="7">
        <f>$P$1*('Single Exponen'!C4-('Konstanta c triple'!$P$2*'Double Exponen'!C4)+'triple exponen'!C4)</f>
        <v>18.758299999999981</v>
      </c>
      <c r="D4" s="7">
        <f>$P$1*('Single Exponen'!D4-('Konstanta c triple'!$P$2*'Double Exponen'!D4)+'triple exponen'!D4)</f>
        <v>18.424409999999941</v>
      </c>
      <c r="E4" s="7">
        <f>$P$1*('Single Exponen'!E4-('Konstanta c triple'!$P$2*'Double Exponen'!E4)+'triple exponen'!E4)</f>
        <v>28.252937999999926</v>
      </c>
      <c r="F4" s="7">
        <f>$P$1*('Single Exponen'!F4-('Konstanta c triple'!$P$2*'Double Exponen'!F4)+'triple exponen'!F4)</f>
        <v>19.046116999999892</v>
      </c>
      <c r="G4" s="7">
        <f>$P$1*('Single Exponen'!G4-('Konstanta c triple'!$P$2*'Double Exponen'!G4)+'triple exponen'!G4)</f>
        <v>45.071871449999939</v>
      </c>
      <c r="H4" s="7">
        <f>$P$1*('Single Exponen'!H4-('Konstanta c triple'!$P$2*'Double Exponen'!H4)+'triple exponen'!H4)</f>
        <v>89.17288040699998</v>
      </c>
      <c r="I4" s="7">
        <f>$P$1*('Single Exponen'!I4-('Konstanta c triple'!$P$2*'Double Exponen'!I4)+'triple exponen'!I4)</f>
        <v>88.923448768399993</v>
      </c>
      <c r="J4" s="7">
        <f>$P$1*('Single Exponen'!J4-('Konstanta c triple'!$P$2*'Double Exponen'!J4)+'triple exponen'!J4)</f>
        <v>43.155406572719968</v>
      </c>
      <c r="K4" s="7">
        <f>$P$1*('Single Exponen'!K4-('Konstanta c triple'!$P$2*'Double Exponen'!K4)+'triple exponen'!K4)</f>
        <v>21.181847055835039</v>
      </c>
      <c r="L4" s="7">
        <f>$P$1*('Single Exponen'!L4-('Konstanta c triple'!$P$2*'Double Exponen'!L4)+'triple exponen'!L4)</f>
        <v>6.8436432312084863</v>
      </c>
      <c r="M4" s="7">
        <f>$P$1*('Single Exponen'!M4-('Konstanta c triple'!$P$2*'Double Exponen'!M4)+'triple exponen'!M4)</f>
        <v>2.812739770096762</v>
      </c>
    </row>
    <row r="5" spans="1:24" x14ac:dyDescent="0.3">
      <c r="A5" s="7" t="str">
        <f>'Konstanta b triple'!A5</f>
        <v>Oil B 20 LT</v>
      </c>
      <c r="B5" s="7">
        <f>$P$1*('Single Exponen'!B5-('Konstanta c triple'!$P$2*'Double Exponen'!B5)+'triple exponen'!B5)</f>
        <v>0</v>
      </c>
      <c r="C5" s="7">
        <f>$P$1*('Single Exponen'!C5-('Konstanta c triple'!$P$2*'Double Exponen'!C5)+'triple exponen'!C5)</f>
        <v>3.9463500000000091</v>
      </c>
      <c r="D5" s="7">
        <f>$P$1*('Single Exponen'!D5-('Konstanta c triple'!$P$2*'Double Exponen'!D5)+'triple exponen'!D5)</f>
        <v>6.0532450000000164</v>
      </c>
      <c r="E5" s="7">
        <f>$P$1*('Single Exponen'!E5-('Konstanta c triple'!$P$2*'Double Exponen'!E5)+'triple exponen'!E5)</f>
        <v>5.9637909999999943</v>
      </c>
      <c r="F5" s="7">
        <f>$P$1*('Single Exponen'!F5-('Konstanta c triple'!$P$2*'Double Exponen'!F5)+'triple exponen'!F5)</f>
        <v>44.869669499999986</v>
      </c>
      <c r="G5" s="7">
        <f>$P$1*('Single Exponen'!G5-('Konstanta c triple'!$P$2*'Double Exponen'!G5)+'triple exponen'!G5)</f>
        <v>33.160291125000001</v>
      </c>
      <c r="H5" s="7">
        <f>$P$1*('Single Exponen'!H5-('Konstanta c triple'!$P$2*'Double Exponen'!H5)+'triple exponen'!H5)</f>
        <v>25.286362791500011</v>
      </c>
      <c r="I5" s="7">
        <f>$P$1*('Single Exponen'!I5-('Konstanta c triple'!$P$2*'Double Exponen'!I5)+'triple exponen'!I5)</f>
        <v>27.285261168799998</v>
      </c>
      <c r="J5" s="7">
        <f>$P$1*('Single Exponen'!J5-('Konstanta c triple'!$P$2*'Double Exponen'!J5)+'triple exponen'!J5)</f>
        <v>27.879905802540019</v>
      </c>
      <c r="K5" s="7">
        <f>$P$1*('Single Exponen'!K5-('Konstanta c triple'!$P$2*'Double Exponen'!K5)+'triple exponen'!K5)</f>
        <v>45.283519501677503</v>
      </c>
      <c r="L5" s="7">
        <f>$P$1*('Single Exponen'!L5-('Konstanta c triple'!$P$2*'Double Exponen'!L5)+'triple exponen'!L5)</f>
        <v>27.859286946412258</v>
      </c>
      <c r="M5" s="7">
        <f>$P$1*('Single Exponen'!M5-('Konstanta c triple'!$P$2*'Double Exponen'!M5)+'triple exponen'!M5)</f>
        <v>15.987513696288397</v>
      </c>
    </row>
    <row r="6" spans="1:24" x14ac:dyDescent="0.3">
      <c r="A6" s="7" t="str">
        <f>'Konstanta b triple'!A6</f>
        <v>Oil B 200 LT</v>
      </c>
      <c r="B6" s="7">
        <f>$P$1*('Single Exponen'!B6-('Konstanta c triple'!$P$2*'Double Exponen'!B6)+'triple exponen'!B6)</f>
        <v>0</v>
      </c>
      <c r="C6" s="7">
        <f>$P$1*('Single Exponen'!C6-('Konstanta c triple'!$P$2*'Double Exponen'!C6)+'triple exponen'!C6)</f>
        <v>24.444860000000002</v>
      </c>
      <c r="D6" s="7">
        <f>$P$1*('Single Exponen'!D6-('Konstanta c triple'!$P$2*'Double Exponen'!D6)+'triple exponen'!D6)</f>
        <v>35.575342000000013</v>
      </c>
      <c r="E6" s="7">
        <f>$P$1*('Single Exponen'!E6-('Konstanta c triple'!$P$2*'Double Exponen'!E6)+'triple exponen'!E6)</f>
        <v>41.992213600000014</v>
      </c>
      <c r="F6" s="7">
        <f>$P$1*('Single Exponen'!F6-('Konstanta c triple'!$P$2*'Double Exponen'!F6)+'triple exponen'!F6)</f>
        <v>53.388018599999995</v>
      </c>
      <c r="G6" s="7">
        <f>$P$1*('Single Exponen'!G6-('Konstanta c triple'!$P$2*'Double Exponen'!G6)+'triple exponen'!G6)</f>
        <v>50.661985489999999</v>
      </c>
      <c r="H6" s="7">
        <f>$P$1*('Single Exponen'!H6-('Konstanta c triple'!$P$2*'Double Exponen'!H6)+'triple exponen'!H6)</f>
        <v>82.940059339400008</v>
      </c>
      <c r="I6" s="7">
        <f>$P$1*('Single Exponen'!I6-('Konstanta c triple'!$P$2*'Double Exponen'!I6)+'triple exponen'!I6)</f>
        <v>82.474471035080029</v>
      </c>
      <c r="J6" s="7">
        <f>$P$1*('Single Exponen'!J6-('Konstanta c triple'!$P$2*'Double Exponen'!J6)+'triple exponen'!J6)</f>
        <v>76.00383502218402</v>
      </c>
      <c r="K6" s="7">
        <f>$P$1*('Single Exponen'!K6-('Konstanta c triple'!$P$2*'Double Exponen'!K6)+'triple exponen'!K6)</f>
        <v>91.266613203075025</v>
      </c>
      <c r="L6" s="7">
        <f>$P$1*('Single Exponen'!L6-('Konstanta c triple'!$P$2*'Double Exponen'!L6)+'triple exponen'!L6)</f>
        <v>98.370585928968737</v>
      </c>
      <c r="M6" s="7">
        <f>$P$1*('Single Exponen'!M6-('Konstanta c triple'!$P$2*'Double Exponen'!M6)+'triple exponen'!M6)</f>
        <v>92.905427655915375</v>
      </c>
    </row>
    <row r="7" spans="1:24" x14ac:dyDescent="0.3">
      <c r="A7" s="6">
        <f>'Konstanta b triple'!A7</f>
        <v>0.2</v>
      </c>
      <c r="B7" s="6" t="str">
        <f>'Konstanta b triple'!B7</f>
        <v>T1</v>
      </c>
      <c r="C7" s="6" t="str">
        <f>'Konstanta b triple'!C7</f>
        <v>T2</v>
      </c>
      <c r="D7" s="6" t="str">
        <f>'Konstanta b triple'!D7</f>
        <v>T3</v>
      </c>
      <c r="E7" s="6" t="str">
        <f>'Konstanta b triple'!E7</f>
        <v>T4</v>
      </c>
      <c r="F7" s="6" t="str">
        <f>'Konstanta b triple'!F7</f>
        <v>T5</v>
      </c>
      <c r="G7" s="6" t="str">
        <f>'Konstanta b triple'!G7</f>
        <v>T6</v>
      </c>
      <c r="H7" s="6" t="str">
        <f>'Konstanta b triple'!H7</f>
        <v>T7</v>
      </c>
      <c r="I7" s="6" t="str">
        <f>'Konstanta b triple'!I7</f>
        <v>T8</v>
      </c>
      <c r="J7" s="6" t="str">
        <f>'Konstanta b triple'!J7</f>
        <v>T9</v>
      </c>
      <c r="K7" s="6" t="str">
        <f>'Konstanta b triple'!K7</f>
        <v>T10</v>
      </c>
      <c r="L7" s="6" t="str">
        <f>'Konstanta b triple'!L7</f>
        <v>T11</v>
      </c>
      <c r="M7" s="6" t="str">
        <f>'Konstanta b triple'!M7</f>
        <v>T12</v>
      </c>
    </row>
    <row r="8" spans="1:24" x14ac:dyDescent="0.3">
      <c r="A8" s="6" t="str">
        <f>'Konstanta b triple'!A8</f>
        <v>Oil A 20 LT</v>
      </c>
      <c r="B8" s="6">
        <f>$Q$1*('Single Exponen'!B8-('Konstanta c triple'!$Q$2*'Double Exponen'!B8)+'triple exponen'!B8)</f>
        <v>0</v>
      </c>
      <c r="C8" s="6">
        <f>$Q$1*('Single Exponen'!C8-('Konstanta c triple'!$Q$2*'Double Exponen'!C8)+'triple exponen'!C8)</f>
        <v>-62.386719999999968</v>
      </c>
      <c r="D8" s="6">
        <f>$Q$1*('Single Exponen'!D8-('Konstanta c triple'!$Q$2*'Double Exponen'!D8)+'triple exponen'!D8)</f>
        <v>42.54731199999992</v>
      </c>
      <c r="E8" s="6">
        <f>$Q$1*('Single Exponen'!E8-('Konstanta c triple'!$Q$2*'Double Exponen'!E8)+'triple exponen'!E8)</f>
        <v>12.608371199999965</v>
      </c>
      <c r="F8" s="6">
        <f>$Q$1*('Single Exponen'!F8-('Konstanta c triple'!$Q$2*'Double Exponen'!F8)+'triple exponen'!F8)</f>
        <v>-20.016268799999921</v>
      </c>
      <c r="G8" s="6">
        <f>$Q$1*('Single Exponen'!G8-('Konstanta c triple'!$Q$2*'Double Exponen'!G8)+'triple exponen'!G8)</f>
        <v>-41.702814080000053</v>
      </c>
      <c r="H8" s="6">
        <f>$Q$1*('Single Exponen'!H8-('Konstanta c triple'!$Q$2*'Double Exponen'!H8)+'triple exponen'!H8)</f>
        <v>32.722688358400092</v>
      </c>
      <c r="I8" s="6">
        <f>$Q$1*('Single Exponen'!I8-('Konstanta c triple'!$Q$2*'Double Exponen'!I8)+'triple exponen'!I8)</f>
        <v>9.9494454681600928</v>
      </c>
      <c r="J8" s="6">
        <f>$Q$1*('Single Exponen'!J8-('Konstanta c triple'!$Q$2*'Double Exponen'!J8)+'triple exponen'!J8)</f>
        <v>-3.7760133335040109</v>
      </c>
      <c r="K8" s="6">
        <f>$Q$1*('Single Exponen'!K8-('Konstanta c triple'!$Q$2*'Double Exponen'!K8)+'triple exponen'!K8)</f>
        <v>-30.035990859776007</v>
      </c>
      <c r="L8" s="6">
        <f>$Q$1*('Single Exponen'!L8-('Konstanta c triple'!$Q$2*'Double Exponen'!L8)+'triple exponen'!L8)</f>
        <v>38.072243616563242</v>
      </c>
      <c r="M8" s="6">
        <f>$Q$1*('Single Exponen'!M8-('Konstanta c triple'!$Q$2*'Double Exponen'!M8)+'triple exponen'!M8)</f>
        <v>19.203808303767687</v>
      </c>
    </row>
    <row r="9" spans="1:24" x14ac:dyDescent="0.3">
      <c r="A9" s="6" t="str">
        <f>'Konstanta b triple'!A9</f>
        <v>Oil A 200 LT</v>
      </c>
      <c r="B9" s="6">
        <f>$Q$1*('Single Exponen'!B9-('Konstanta c triple'!$Q$2*'Double Exponen'!B9)+'triple exponen'!B9)</f>
        <v>0</v>
      </c>
      <c r="C9" s="6">
        <f>$Q$1*('Single Exponen'!C9-('Konstanta c triple'!$Q$2*'Double Exponen'!C9)+'triple exponen'!C9)</f>
        <v>-501.56015999999727</v>
      </c>
      <c r="D9" s="6">
        <f>$Q$1*('Single Exponen'!D9-('Konstanta c triple'!$Q$2*'Double Exponen'!D9)+'triple exponen'!D9)</f>
        <v>-766.03846399999748</v>
      </c>
      <c r="E9" s="6">
        <f>$Q$1*('Single Exponen'!E9-('Konstanta c triple'!$Q$2*'Double Exponen'!E9)+'triple exponen'!E9)</f>
        <v>121.67839360000289</v>
      </c>
      <c r="F9" s="6">
        <f>$Q$1*('Single Exponen'!F9-('Konstanta c triple'!$Q$2*'Double Exponen'!F9)+'triple exponen'!F9)</f>
        <v>-1865.8939263999928</v>
      </c>
      <c r="G9" s="6">
        <f>$Q$1*('Single Exponen'!G9-('Konstanta c triple'!$Q$2*'Double Exponen'!G9)+'triple exponen'!G9)</f>
        <v>-1247.8457126399953</v>
      </c>
      <c r="H9" s="6">
        <f>$Q$1*('Single Exponen'!H9-('Konstanta c triple'!$Q$2*'Double Exponen'!H9)+'triple exponen'!H9)</f>
        <v>-85.896754124802101</v>
      </c>
      <c r="I9" s="6">
        <f>$Q$1*('Single Exponen'!I9-('Konstanta c triple'!$Q$2*'Double Exponen'!I9)+'triple exponen'!I9)</f>
        <v>939.77626805247928</v>
      </c>
      <c r="J9" s="6">
        <f>$Q$1*('Single Exponen'!J9-('Konstanta c triple'!$Q$2*'Double Exponen'!J9)+'triple exponen'!J9)</f>
        <v>1404.9050863738848</v>
      </c>
      <c r="K9" s="6">
        <f>$Q$1*('Single Exponen'!K9-('Konstanta c triple'!$Q$2*'Double Exponen'!K9)+'triple exponen'!K9)</f>
        <v>1613.3739945246671</v>
      </c>
      <c r="L9" s="6">
        <f>$Q$1*('Single Exponen'!L9-('Konstanta c triple'!$Q$2*'Double Exponen'!L9)+'triple exponen'!L9)</f>
        <v>1195.3271902642118</v>
      </c>
      <c r="M9" s="6">
        <f>$Q$1*('Single Exponen'!M9-('Konstanta c triple'!$Q$2*'Double Exponen'!M9)+'triple exponen'!M9)</f>
        <v>433.07603137017941</v>
      </c>
    </row>
    <row r="10" spans="1:24" x14ac:dyDescent="0.3">
      <c r="A10" s="6" t="str">
        <f>'Konstanta b triple'!A10</f>
        <v>Oil A 1000 LT</v>
      </c>
      <c r="B10" s="6">
        <f>$Q$1*('Single Exponen'!B10-('Konstanta c triple'!$Q$2*'Double Exponen'!B10)+'triple exponen'!B10)</f>
        <v>0</v>
      </c>
      <c r="C10" s="6">
        <f>$Q$1*('Single Exponen'!C10-('Konstanta c triple'!$Q$2*'Double Exponen'!C10)+'triple exponen'!C10)</f>
        <v>150.06640000000016</v>
      </c>
      <c r="D10" s="6">
        <f>$Q$1*('Single Exponen'!D10-('Konstanta c triple'!$Q$2*'Double Exponen'!D10)+'triple exponen'!D10)</f>
        <v>102.37536000000023</v>
      </c>
      <c r="E10" s="6">
        <f>$Q$1*('Single Exponen'!E10-('Konstanta c triple'!$Q$2*'Double Exponen'!E10)+'triple exponen'!E10)</f>
        <v>150.29097599999977</v>
      </c>
      <c r="F10" s="6">
        <f>$Q$1*('Single Exponen'!F10-('Konstanta c triple'!$Q$2*'Double Exponen'!F10)+'triple exponen'!F10)</f>
        <v>31.849247999999989</v>
      </c>
      <c r="G10" s="6">
        <f>$Q$1*('Single Exponen'!G10-('Konstanta c triple'!$Q$2*'Double Exponen'!G10)+'triple exponen'!G10)</f>
        <v>231.26050559999999</v>
      </c>
      <c r="H10" s="6">
        <f>$Q$1*('Single Exponen'!H10-('Konstanta c triple'!$Q$2*'Double Exponen'!H10)+'triple exponen'!H10)</f>
        <v>516.13963699200008</v>
      </c>
      <c r="I10" s="6">
        <f>$Q$1*('Single Exponen'!I10-('Konstanta c triple'!$Q$2*'Double Exponen'!I10)+'triple exponen'!I10)</f>
        <v>361.39537300479969</v>
      </c>
      <c r="J10" s="6">
        <f>$Q$1*('Single Exponen'!J10-('Konstanta c triple'!$Q$2*'Double Exponen'!J10)+'triple exponen'!J10)</f>
        <v>-110.07542894591984</v>
      </c>
      <c r="K10" s="6">
        <f>$Q$1*('Single Exponen'!K10-('Konstanta c triple'!$Q$2*'Double Exponen'!K10)+'triple exponen'!K10)</f>
        <v>-247.88305149951975</v>
      </c>
      <c r="L10" s="6">
        <f>$Q$1*('Single Exponen'!L10-('Konstanta c triple'!$Q$2*'Double Exponen'!L10)+'triple exponen'!L10)</f>
        <v>-280.97926904422411</v>
      </c>
      <c r="M10" s="6">
        <f>$Q$1*('Single Exponen'!M10-('Konstanta c triple'!$Q$2*'Double Exponen'!M10)+'triple exponen'!M10)</f>
        <v>-220.0014064473703</v>
      </c>
    </row>
    <row r="11" spans="1:24" x14ac:dyDescent="0.3">
      <c r="A11" s="6" t="str">
        <f>'Konstanta b triple'!A11</f>
        <v>Oil B 20 LT</v>
      </c>
      <c r="B11" s="6">
        <f>$Q$1*('Single Exponen'!B11-('Konstanta c triple'!$Q$2*'Double Exponen'!B11)+'triple exponen'!B11)</f>
        <v>0</v>
      </c>
      <c r="C11" s="6">
        <f>$Q$1*('Single Exponen'!C11-('Konstanta c triple'!$Q$2*'Double Exponen'!C11)+'triple exponen'!C11)</f>
        <v>31.57080000000002</v>
      </c>
      <c r="D11" s="6">
        <f>$Q$1*('Single Exponen'!D11-('Konstanta c triple'!$Q$2*'Double Exponen'!D11)+'triple exponen'!D11)</f>
        <v>38.954720000000066</v>
      </c>
      <c r="E11" s="6">
        <f>$Q$1*('Single Exponen'!E11-('Konstanta c triple'!$Q$2*'Double Exponen'!E11)+'triple exponen'!E11)</f>
        <v>26.55267200000003</v>
      </c>
      <c r="F11" s="6">
        <f>$Q$1*('Single Exponen'!F11-('Konstanta c triple'!$Q$2*'Double Exponen'!F11)+'triple exponen'!F11)</f>
        <v>329.89704000000006</v>
      </c>
      <c r="G11" s="6">
        <f>$Q$1*('Single Exponen'!G11-('Konstanta c triple'!$Q$2*'Double Exponen'!G11)+'triple exponen'!G11)</f>
        <v>137.44762239999989</v>
      </c>
      <c r="H11" s="6">
        <f>$Q$1*('Single Exponen'!H11-('Konstanta c triple'!$Q$2*'Double Exponen'!H11)+'triple exponen'!H11)</f>
        <v>33.581105023999839</v>
      </c>
      <c r="I11" s="6">
        <f>$Q$1*('Single Exponen'!I11-('Konstanta c triple'!$Q$2*'Double Exponen'!I11)+'triple exponen'!I11)</f>
        <v>40.65530152959991</v>
      </c>
      <c r="J11" s="6">
        <f>$Q$1*('Single Exponen'!J11-('Konstanta c triple'!$Q$2*'Double Exponen'!J11)+'triple exponen'!J11)</f>
        <v>35.323864693760015</v>
      </c>
      <c r="K11" s="6">
        <f>$Q$1*('Single Exponen'!K11-('Konstanta c triple'!$Q$2*'Double Exponen'!K11)+'triple exponen'!K11)</f>
        <v>166.93022210048002</v>
      </c>
      <c r="L11" s="6">
        <f>$Q$1*('Single Exponen'!L11-('Konstanta c triple'!$Q$2*'Double Exponen'!L11)+'triple exponen'!L11)</f>
        <v>-18.765772787711853</v>
      </c>
      <c r="M11" s="6">
        <f>$Q$1*('Single Exponen'!M11-('Konstanta c triple'!$Q$2*'Double Exponen'!M11)+'triple exponen'!M11)</f>
        <v>-103.60254240022527</v>
      </c>
    </row>
    <row r="12" spans="1:24" x14ac:dyDescent="0.3">
      <c r="A12" s="6" t="str">
        <f>'Konstanta b triple'!A12</f>
        <v>Oil B 200 LT</v>
      </c>
      <c r="B12" s="6">
        <f>$Q$1*('Single Exponen'!B12-('Konstanta c triple'!$Q$2*'Double Exponen'!B12)+'triple exponen'!B12)</f>
        <v>0</v>
      </c>
      <c r="C12" s="6">
        <f>$Q$1*('Single Exponen'!C12-('Konstanta c triple'!$Q$2*'Double Exponen'!C12)+'triple exponen'!C12)</f>
        <v>195.55887999999999</v>
      </c>
      <c r="D12" s="6">
        <f>$Q$1*('Single Exponen'!D12-('Konstanta c triple'!$Q$2*'Double Exponen'!D12)+'triple exponen'!D12)</f>
        <v>225.93507200000005</v>
      </c>
      <c r="E12" s="6">
        <f>$Q$1*('Single Exponen'!E12-('Konstanta c triple'!$Q$2*'Double Exponen'!E12)+'triple exponen'!E12)</f>
        <v>209.48952320000004</v>
      </c>
      <c r="F12" s="6">
        <f>$Q$1*('Single Exponen'!F12-('Konstanta c triple'!$Q$2*'Double Exponen'!F12)+'triple exponen'!F12)</f>
        <v>238.20022400000005</v>
      </c>
      <c r="G12" s="6">
        <f>$Q$1*('Single Exponen'!G12-('Konstanta c triple'!$Q$2*'Double Exponen'!G12)+'triple exponen'!G12)</f>
        <v>146.10732991999987</v>
      </c>
      <c r="H12" s="6">
        <f>$Q$1*('Single Exponen'!H12-('Konstanta c triple'!$Q$2*'Double Exponen'!H12)+'triple exponen'!H12)</f>
        <v>362.75787760640014</v>
      </c>
      <c r="I12" s="6">
        <f>$Q$1*('Single Exponen'!I12-('Konstanta c triple'!$Q$2*'Double Exponen'!I12)+'triple exponen'!I12)</f>
        <v>253.85190749696011</v>
      </c>
      <c r="J12" s="6">
        <f>$Q$1*('Single Exponen'!J12-('Konstanta c triple'!$Q$2*'Double Exponen'!J12)+'triple exponen'!J12)</f>
        <v>131.03256590745627</v>
      </c>
      <c r="K12" s="6">
        <f>$Q$1*('Single Exponen'!K12-('Konstanta c triple'!$Q$2*'Double Exponen'!K12)+'triple exponen'!K12)</f>
        <v>220.8618891182083</v>
      </c>
      <c r="L12" s="6">
        <f>$Q$1*('Single Exponen'!L12-('Konstanta c triple'!$Q$2*'Double Exponen'!L12)+'triple exponen'!L12)</f>
        <v>220.58746397982759</v>
      </c>
      <c r="M12" s="6">
        <f>$Q$1*('Single Exponen'!M12-('Konstanta c triple'!$Q$2*'Double Exponen'!M12)+'triple exponen'!M12)</f>
        <v>121.85112018924337</v>
      </c>
    </row>
    <row r="13" spans="1:24" x14ac:dyDescent="0.3">
      <c r="A13" s="6">
        <f>'Konstanta b triple'!A13</f>
        <v>0.30000000000000004</v>
      </c>
      <c r="B13" s="6" t="str">
        <f>'Konstanta b triple'!B13</f>
        <v>T1</v>
      </c>
      <c r="C13" s="6" t="str">
        <f>'Konstanta b triple'!C13</f>
        <v>T2</v>
      </c>
      <c r="D13" s="6" t="str">
        <f>'Konstanta b triple'!D13</f>
        <v>T3</v>
      </c>
      <c r="E13" s="6" t="str">
        <f>'Konstanta b triple'!E13</f>
        <v>T4</v>
      </c>
      <c r="F13" s="6" t="str">
        <f>'Konstanta b triple'!F13</f>
        <v>T5</v>
      </c>
      <c r="G13" s="6" t="str">
        <f>'Konstanta b triple'!G13</f>
        <v>T6</v>
      </c>
      <c r="H13" s="6" t="str">
        <f>'Konstanta b triple'!H13</f>
        <v>T7</v>
      </c>
      <c r="I13" s="6" t="str">
        <f>'Konstanta b triple'!I13</f>
        <v>T8</v>
      </c>
      <c r="J13" s="6" t="str">
        <f>'Konstanta b triple'!J13</f>
        <v>T9</v>
      </c>
      <c r="K13" s="6" t="str">
        <f>'Konstanta b triple'!K13</f>
        <v>T10</v>
      </c>
      <c r="L13" s="6" t="str">
        <f>'Konstanta b triple'!L13</f>
        <v>T11</v>
      </c>
      <c r="M13" s="6" t="str">
        <f>'Konstanta b triple'!M13</f>
        <v>T12</v>
      </c>
    </row>
    <row r="14" spans="1:24" x14ac:dyDescent="0.3">
      <c r="A14" s="6" t="str">
        <f>'Konstanta b triple'!A14</f>
        <v>Oil A 20 LT</v>
      </c>
      <c r="B14" s="6">
        <f>$R$1*('Single Exponen'!B14-('Konstanta c triple'!$R$2*'Double Exponen'!B14)+'triple exponen'!B14)</f>
        <v>0</v>
      </c>
      <c r="C14" s="6">
        <f>$R$1*('Single Exponen'!C14-('Konstanta c triple'!$R$2*'Double Exponen'!C14)+'triple exponen'!C14)</f>
        <v>-210.55517999999938</v>
      </c>
      <c r="D14" s="6">
        <f>$R$1*('Single Exponen'!D14-('Konstanta c triple'!$R$2*'Double Exponen'!D14)+'triple exponen'!D14)</f>
        <v>206.76373200000074</v>
      </c>
      <c r="E14" s="6">
        <f>$R$1*('Single Exponen'!E14-('Konstanta c triple'!$R$2*'Double Exponen'!E14)+'triple exponen'!E14)</f>
        <v>37.374031800001092</v>
      </c>
      <c r="F14" s="6">
        <f>$R$1*('Single Exponen'!F14-('Konstanta c triple'!$R$2*'Double Exponen'!F14)+'triple exponen'!F14)</f>
        <v>-83.84952599999886</v>
      </c>
      <c r="G14" s="6">
        <f>$R$1*('Single Exponen'!G14-('Konstanta c triple'!$R$2*'Double Exponen'!G14)+'triple exponen'!G14)</f>
        <v>-130.53860126999848</v>
      </c>
      <c r="H14" s="6">
        <f>$R$1*('Single Exponen'!H14-('Konstanta c triple'!$R$2*'Double Exponen'!H14)+'triple exponen'!H14)</f>
        <v>158.68621346040121</v>
      </c>
      <c r="I14" s="6">
        <f>$R$1*('Single Exponen'!I14-('Konstanta c triple'!$R$2*'Double Exponen'!I14)+'triple exponen'!I14)</f>
        <v>29.251884715741301</v>
      </c>
      <c r="J14" s="6">
        <f>$R$1*('Single Exponen'!J14-('Konstanta c triple'!$R$2*'Double Exponen'!J14)+'triple exponen'!J14)</f>
        <v>-25.84358611934287</v>
      </c>
      <c r="K14" s="6">
        <f>$R$1*('Single Exponen'!K14-('Konstanta c triple'!$R$2*'Double Exponen'!K14)+'triple exponen'!K14)</f>
        <v>-105.70059016584162</v>
      </c>
      <c r="L14" s="6">
        <f>$R$1*('Single Exponen'!L14-('Konstanta c triple'!$R$2*'Double Exponen'!L14)+'triple exponen'!L14)</f>
        <v>156.17636870466552</v>
      </c>
      <c r="M14" s="6">
        <f>$R$1*('Single Exponen'!M14-('Konstanta c triple'!$R$2*'Double Exponen'!M14)+'triple exponen'!M14)</f>
        <v>42.80530178465051</v>
      </c>
    </row>
    <row r="15" spans="1:24" x14ac:dyDescent="0.3">
      <c r="A15" s="6" t="str">
        <f>'Konstanta b triple'!A15</f>
        <v>Oil A 200 LT</v>
      </c>
      <c r="B15" s="6">
        <f>$R$1*('Single Exponen'!B15-('Konstanta c triple'!$R$2*'Double Exponen'!B15)+'triple exponen'!B15)</f>
        <v>0</v>
      </c>
      <c r="C15" s="6">
        <f>$R$1*('Single Exponen'!C15-('Konstanta c triple'!$R$2*'Double Exponen'!C15)+'triple exponen'!C15)</f>
        <v>-1692.7655399999812</v>
      </c>
      <c r="D15" s="6">
        <f>$R$1*('Single Exponen'!D15-('Konstanta c triple'!$R$2*'Double Exponen'!D15)+'triple exponen'!D15)</f>
        <v>-2077.5501539999686</v>
      </c>
      <c r="E15" s="6">
        <f>$R$1*('Single Exponen'!E15-('Konstanta c triple'!$R$2*'Double Exponen'!E15)+'triple exponen'!E15)</f>
        <v>1490.9763204000383</v>
      </c>
      <c r="F15" s="6">
        <f>$R$1*('Single Exponen'!F15-('Konstanta c triple'!$R$2*'Double Exponen'!F15)+'triple exponen'!F15)</f>
        <v>-5775.7898609999665</v>
      </c>
      <c r="G15" s="6">
        <f>$R$1*('Single Exponen'!G15-('Konstanta c triple'!$R$2*'Double Exponen'!G15)+'triple exponen'!G15)</f>
        <v>-2019.0416219099627</v>
      </c>
      <c r="H15" s="6">
        <f>$R$1*('Single Exponen'!H15-('Konstanta c triple'!$R$2*'Double Exponen'!H15)+'triple exponen'!H15)</f>
        <v>2278.2243875562576</v>
      </c>
      <c r="I15" s="6">
        <f>$R$1*('Single Exponen'!I15-('Konstanta c triple'!$R$2*'Double Exponen'!I15)+'triple exponen'!I15)</f>
        <v>4776.899575752791</v>
      </c>
      <c r="J15" s="6">
        <f>$R$1*('Single Exponen'!J15-('Konstanta c triple'!$R$2*'Double Exponen'!J15)+'triple exponen'!J15)</f>
        <v>4719.0013030580403</v>
      </c>
      <c r="K15" s="6">
        <f>$R$1*('Single Exponen'!K15-('Konstanta c triple'!$R$2*'Double Exponen'!K15)+'triple exponen'!K15)</f>
        <v>3972.8771649970668</v>
      </c>
      <c r="L15" s="6">
        <f>$R$1*('Single Exponen'!L15-('Konstanta c triple'!$R$2*'Double Exponen'!L15)+'triple exponen'!L15)</f>
        <v>1490.338165481746</v>
      </c>
      <c r="M15" s="6">
        <f>$R$1*('Single Exponen'!M15-('Konstanta c triple'!$R$2*'Double Exponen'!M15)+'triple exponen'!M15)</f>
        <v>-1285.3329780851254</v>
      </c>
    </row>
    <row r="16" spans="1:24" x14ac:dyDescent="0.3">
      <c r="A16" s="6" t="str">
        <f>'Konstanta b triple'!A16</f>
        <v>Oil A 1000 LT</v>
      </c>
      <c r="B16" s="6">
        <f>$R$1*('Single Exponen'!B16-('Konstanta c triple'!$R$2*'Double Exponen'!B16)+'triple exponen'!B16)</f>
        <v>0</v>
      </c>
      <c r="C16" s="6">
        <f>$R$1*('Single Exponen'!C16-('Konstanta c triple'!$R$2*'Double Exponen'!C16)+'triple exponen'!C16)</f>
        <v>506.4741000000011</v>
      </c>
      <c r="D16" s="6">
        <f>$R$1*('Single Exponen'!D16-('Konstanta c triple'!$R$2*'Double Exponen'!D16)+'triple exponen'!D16)</f>
        <v>193.57461000000288</v>
      </c>
      <c r="E16" s="6">
        <f>$R$1*('Single Exponen'!E16-('Konstanta c triple'!$R$2*'Double Exponen'!E16)+'triple exponen'!E16)</f>
        <v>312.41165400000335</v>
      </c>
      <c r="F16" s="6">
        <f>$R$1*('Single Exponen'!F16-('Konstanta c triple'!$R$2*'Double Exponen'!F16)+'triple exponen'!F16)</f>
        <v>-160.55768699999606</v>
      </c>
      <c r="G16" s="6">
        <f>$R$1*('Single Exponen'!G16-('Konstanta c triple'!$R$2*'Double Exponen'!G16)+'triple exponen'!G16)</f>
        <v>589.48601715000405</v>
      </c>
      <c r="H16" s="6">
        <f>$R$1*('Single Exponen'!H16-('Konstanta c triple'!$R$2*'Double Exponen'!H16)+'triple exponen'!H16)</f>
        <v>1396.5391332270049</v>
      </c>
      <c r="I16" s="6">
        <f>$R$1*('Single Exponen'!I16-('Konstanta c triple'!$R$2*'Double Exponen'!I16)+'triple exponen'!I16)</f>
        <v>493.62734792520303</v>
      </c>
      <c r="J16" s="6">
        <f>$R$1*('Single Exponen'!J16-('Konstanta c triple'!$R$2*'Double Exponen'!J16)+'triple exponen'!J16)</f>
        <v>-1167.9417913183163</v>
      </c>
      <c r="K16" s="6">
        <f>$R$1*('Single Exponen'!K16-('Konstanta c triple'!$R$2*'Double Exponen'!K16)+'triple exponen'!K16)</f>
        <v>-1194.3386405216515</v>
      </c>
      <c r="L16" s="6">
        <f>$R$1*('Single Exponen'!L16-('Konstanta c triple'!$R$2*'Double Exponen'!L16)+'triple exponen'!L16)</f>
        <v>-900.15483151919784</v>
      </c>
      <c r="M16" s="6">
        <f>$R$1*('Single Exponen'!M16-('Konstanta c triple'!$R$2*'Double Exponen'!M16)+'triple exponen'!M16)</f>
        <v>-417.89587904566963</v>
      </c>
    </row>
    <row r="17" spans="1:13" x14ac:dyDescent="0.3">
      <c r="A17" s="6" t="str">
        <f>'Konstanta b triple'!A17</f>
        <v>Oil B 20 LT</v>
      </c>
      <c r="B17" s="6">
        <f>$R$1*('Single Exponen'!B17-('Konstanta c triple'!$R$2*'Double Exponen'!B17)+'triple exponen'!B17)</f>
        <v>0</v>
      </c>
      <c r="C17" s="6">
        <f>$R$1*('Single Exponen'!C17-('Konstanta c triple'!$R$2*'Double Exponen'!C17)+'triple exponen'!C17)</f>
        <v>106.55145000000032</v>
      </c>
      <c r="D17" s="6">
        <f>$R$1*('Single Exponen'!D17-('Konstanta c triple'!$R$2*'Double Exponen'!D17)+'triple exponen'!D17)</f>
        <v>99.506745000000265</v>
      </c>
      <c r="E17" s="6">
        <f>$R$1*('Single Exponen'!E17-('Konstanta c triple'!$R$2*'Double Exponen'!E17)+'triple exponen'!E17)</f>
        <v>30.994353000000437</v>
      </c>
      <c r="F17" s="6">
        <f>$R$1*('Single Exponen'!F17-('Konstanta c triple'!$R$2*'Double Exponen'!F17)+'triple exponen'!F17)</f>
        <v>1051.5584835000009</v>
      </c>
      <c r="G17" s="6">
        <f>$R$1*('Single Exponen'!G17-('Konstanta c triple'!$R$2*'Double Exponen'!G17)+'triple exponen'!G17)</f>
        <v>93.30918997500072</v>
      </c>
      <c r="H17" s="6">
        <f>$R$1*('Single Exponen'!H17-('Konstanta c triple'!$R$2*'Double Exponen'!H17)+'triple exponen'!H17)</f>
        <v>-247.35031871849955</v>
      </c>
      <c r="I17" s="6">
        <f>$R$1*('Single Exponen'!I17-('Konstanta c triple'!$R$2*'Double Exponen'!I17)+'triple exponen'!I17)</f>
        <v>-110.11241873159916</v>
      </c>
      <c r="J17" s="6">
        <f>$R$1*('Single Exponen'!J17-('Konstanta c triple'!$R$2*'Double Exponen'!J17)+'triple exponen'!J17)</f>
        <v>-65.619888658739072</v>
      </c>
      <c r="K17" s="6">
        <f>$R$1*('Single Exponen'!K17-('Konstanta c triple'!$R$2*'Double Exponen'!K17)+'triple exponen'!K17)</f>
        <v>421.90673003165375</v>
      </c>
      <c r="L17" s="6">
        <f>$R$1*('Single Exponen'!L17-('Konstanta c triple'!$R$2*'Double Exponen'!L17)+'triple exponen'!L17)</f>
        <v>-312.12619023011979</v>
      </c>
      <c r="M17" s="6">
        <f>$R$1*('Single Exponen'!M17-('Konstanta c triple'!$R$2*'Double Exponen'!M17)+'triple exponen'!M17)</f>
        <v>-475.16313443972984</v>
      </c>
    </row>
    <row r="18" spans="1:13" x14ac:dyDescent="0.3">
      <c r="A18" s="6" t="str">
        <f>'Konstanta b triple'!A18</f>
        <v>Oil B 200 LT</v>
      </c>
      <c r="B18" s="6">
        <f>$R$1*('Single Exponen'!B18-('Konstanta c triple'!$R$2*'Double Exponen'!B18)+'triple exponen'!B18)</f>
        <v>0</v>
      </c>
      <c r="C18" s="6">
        <f>$R$1*('Single Exponen'!C18-('Konstanta c triple'!$R$2*'Double Exponen'!C18)+'triple exponen'!C18)</f>
        <v>660.01122000000009</v>
      </c>
      <c r="D18" s="6">
        <f>$R$1*('Single Exponen'!D18-('Konstanta c triple'!$R$2*'Double Exponen'!D18)+'triple exponen'!D18)</f>
        <v>564.52750200000025</v>
      </c>
      <c r="E18" s="6">
        <f>$R$1*('Single Exponen'!E18-('Konstanta c triple'!$R$2*'Double Exponen'!E18)+'triple exponen'!E18)</f>
        <v>359.46586080000037</v>
      </c>
      <c r="F18" s="6">
        <f>$R$1*('Single Exponen'!F18-('Konstanta c triple'!$R$2*'Double Exponen'!F18)+'triple exponen'!F18)</f>
        <v>384.60086820000072</v>
      </c>
      <c r="G18" s="6">
        <f>$R$1*('Single Exponen'!G18-('Konstanta c triple'!$R$2*'Double Exponen'!G18)+'triple exponen'!G18)</f>
        <v>3.6466710300011278</v>
      </c>
      <c r="H18" s="6">
        <f>$R$1*('Single Exponen'!H18-('Konstanta c triple'!$R$2*'Double Exponen'!H18)+'triple exponen'!H18)</f>
        <v>787.96954316340236</v>
      </c>
      <c r="I18" s="6">
        <f>$R$1*('Single Exponen'!I18-('Konstanta c triple'!$R$2*'Double Exponen'!I18)+'triple exponen'!I18)</f>
        <v>234.87042202164173</v>
      </c>
      <c r="J18" s="6">
        <f>$R$1*('Single Exponen'!J18-('Konstanta c triple'!$R$2*'Double Exponen'!J18)+'triple exponen'!J18)</f>
        <v>-179.6044940414622</v>
      </c>
      <c r="K18" s="6">
        <f>$R$1*('Single Exponen'!K18-('Konstanta c triple'!$R$2*'Double Exponen'!K18)+'triple exponen'!K18)</f>
        <v>250.00443544616294</v>
      </c>
      <c r="L18" s="6">
        <f>$R$1*('Single Exponen'!L18-('Konstanta c triple'!$R$2*'Double Exponen'!L18)+'triple exponen'!L18)</f>
        <v>235.52479543131551</v>
      </c>
      <c r="M18" s="6">
        <f>$R$1*('Single Exponen'!M18-('Konstanta c triple'!$R$2*'Double Exponen'!M18)+'triple exponen'!M18)</f>
        <v>-105.25895115631863</v>
      </c>
    </row>
    <row r="19" spans="1:13" x14ac:dyDescent="0.3">
      <c r="A19" s="6">
        <f>'Konstanta b triple'!A19</f>
        <v>0.4</v>
      </c>
      <c r="B19" s="6" t="str">
        <f>'Konstanta b triple'!B19</f>
        <v>T1</v>
      </c>
      <c r="C19" s="6" t="str">
        <f>'Konstanta b triple'!C19</f>
        <v>T2</v>
      </c>
      <c r="D19" s="6" t="str">
        <f>'Konstanta b triple'!D19</f>
        <v>T3</v>
      </c>
      <c r="E19" s="6" t="str">
        <f>'Konstanta b triple'!E19</f>
        <v>T4</v>
      </c>
      <c r="F19" s="6" t="str">
        <f>'Konstanta b triple'!F19</f>
        <v>T5</v>
      </c>
      <c r="G19" s="6" t="str">
        <f>'Konstanta b triple'!G19</f>
        <v>T6</v>
      </c>
      <c r="H19" s="6" t="str">
        <f>'Konstanta b triple'!H19</f>
        <v>T7</v>
      </c>
      <c r="I19" s="6" t="str">
        <f>'Konstanta b triple'!I19</f>
        <v>T8</v>
      </c>
      <c r="J19" s="6" t="str">
        <f>'Konstanta b triple'!J19</f>
        <v>T9</v>
      </c>
      <c r="K19" s="6" t="str">
        <f>'Konstanta b triple'!K19</f>
        <v>T10</v>
      </c>
      <c r="L19" s="6" t="str">
        <f>'Konstanta b triple'!L19</f>
        <v>T11</v>
      </c>
      <c r="M19" s="6" t="str">
        <f>'Konstanta b triple'!M19</f>
        <v>T12</v>
      </c>
    </row>
    <row r="20" spans="1:13" x14ac:dyDescent="0.3">
      <c r="A20" s="6" t="str">
        <f>'Konstanta b triple'!A20</f>
        <v>Oil A 20 LT</v>
      </c>
      <c r="B20" s="6">
        <f>$S$1*('Single Exponen'!B20-('Konstanta c triple'!$S$2*'Double Exponen'!B20)+'triple exponen'!B20)</f>
        <v>0</v>
      </c>
      <c r="C20" s="6">
        <f>$S$1*('Single Exponen'!C20-('Konstanta c triple'!$S$2*'Double Exponen'!C20)+'triple exponen'!C20)</f>
        <v>-499.09375999999946</v>
      </c>
      <c r="D20" s="6">
        <f>$S$1*('Single Exponen'!D20-('Konstanta c triple'!$S$2*'Double Exponen'!D20)+'triple exponen'!D20)</f>
        <v>639.8347520000026</v>
      </c>
      <c r="E20" s="6">
        <f>$S$1*('Single Exponen'!E20-('Konstanta c triple'!$S$2*'Double Exponen'!E20)+'triple exponen'!E20)</f>
        <v>16.422374400002205</v>
      </c>
      <c r="F20" s="6">
        <f>$S$1*('Single Exponen'!F20-('Konstanta c triple'!$S$2*'Double Exponen'!F20)+'triple exponen'!F20)</f>
        <v>-262.41367039999835</v>
      </c>
      <c r="G20" s="6">
        <f>$S$1*('Single Exponen'!G20-('Konstanta c triple'!$S$2*'Double Exponen'!G20)+'triple exponen'!G20)</f>
        <v>-281.79582463999805</v>
      </c>
      <c r="H20" s="6">
        <f>$S$1*('Single Exponen'!H20-('Konstanta c triple'!$S$2*'Double Exponen'!H20)+'triple exponen'!H20)</f>
        <v>483.10327255040232</v>
      </c>
      <c r="I20" s="6">
        <f>$S$1*('Single Exponen'!I20-('Konstanta c triple'!$S$2*'Double Exponen'!I20)+'triple exponen'!I20)</f>
        <v>9.9953883955200205</v>
      </c>
      <c r="J20" s="6">
        <f>$S$1*('Single Exponen'!J20-('Konstanta c triple'!$S$2*'Double Exponen'!J20)+'triple exponen'!J20)</f>
        <v>-112.42997336473493</v>
      </c>
      <c r="K20" s="6">
        <f>$S$1*('Single Exponen'!K20-('Konstanta c triple'!$S$2*'Double Exponen'!K20)+'triple exponen'!K20)</f>
        <v>-257.8157846527983</v>
      </c>
      <c r="L20" s="6">
        <f>$S$1*('Single Exponen'!L20-('Konstanta c triple'!$S$2*'Double Exponen'!L20)+'triple exponen'!L20)</f>
        <v>442.03144275230858</v>
      </c>
      <c r="M20" s="6">
        <f>$S$1*('Single Exponen'!M20-('Konstanta c triple'!$S$2*'Double Exponen'!M20)+'triple exponen'!M20)</f>
        <v>26.569890132395415</v>
      </c>
    </row>
    <row r="21" spans="1:13" x14ac:dyDescent="0.3">
      <c r="A21" s="6" t="str">
        <f>'Konstanta b triple'!A21</f>
        <v>Oil A 200 LT</v>
      </c>
      <c r="B21" s="6">
        <f>$S$1*('Single Exponen'!B21-('Konstanta c triple'!$S$2*'Double Exponen'!B21)+'triple exponen'!B21)</f>
        <v>0</v>
      </c>
      <c r="C21" s="6">
        <f>$S$1*('Single Exponen'!C21-('Konstanta c triple'!$S$2*'Double Exponen'!C21)+'triple exponen'!C21)</f>
        <v>-4012.4812800000013</v>
      </c>
      <c r="D21" s="6">
        <f>$S$1*('Single Exponen'!D21-('Konstanta c triple'!$S$2*'Double Exponen'!D21)+'triple exponen'!D21)</f>
        <v>-3720.8189439999669</v>
      </c>
      <c r="E21" s="6">
        <f>$S$1*('Single Exponen'!E21-('Konstanta c triple'!$S$2*'Double Exponen'!E21)+'triple exponen'!E21)</f>
        <v>5613.4072832000302</v>
      </c>
      <c r="F21" s="6">
        <f>$S$1*('Single Exponen'!F21-('Konstanta c triple'!$S$2*'Double Exponen'!F21)+'triple exponen'!F21)</f>
        <v>-13719.415347199967</v>
      </c>
      <c r="G21" s="6">
        <f>$S$1*('Single Exponen'!G21-('Konstanta c triple'!$S$2*'Double Exponen'!G21)+'triple exponen'!G21)</f>
        <v>-712.05302271997152</v>
      </c>
      <c r="H21" s="6">
        <f>$S$1*('Single Exponen'!H21-('Konstanta c triple'!$S$2*'Double Exponen'!H21)+'triple exponen'!H21)</f>
        <v>8860.7073472512438</v>
      </c>
      <c r="I21" s="6">
        <f>$S$1*('Single Exponen'!I21-('Konstanta c triple'!$S$2*'Double Exponen'!I21)+'triple exponen'!I21)</f>
        <v>11398.115974594582</v>
      </c>
      <c r="J21" s="6">
        <f>$S$1*('Single Exponen'!J21-('Konstanta c triple'!$S$2*'Double Exponen'!J21)+'triple exponen'!J21)</f>
        <v>7780.5796063314729</v>
      </c>
      <c r="K21" s="6">
        <f>$S$1*('Single Exponen'!K21-('Konstanta c triple'!$S$2*'Double Exponen'!K21)+'triple exponen'!K21)</f>
        <v>4328.6017058407124</v>
      </c>
      <c r="L21" s="6">
        <f>$S$1*('Single Exponen'!L21-('Konstanta c triple'!$S$2*'Double Exponen'!L21)+'triple exponen'!L21)</f>
        <v>-1833.6944938122506</v>
      </c>
      <c r="M21" s="6">
        <f>$S$1*('Single Exponen'!M21-('Konstanta c triple'!$S$2*'Double Exponen'!M21)+'triple exponen'!M21)</f>
        <v>-6753.6752162024704</v>
      </c>
    </row>
    <row r="22" spans="1:13" x14ac:dyDescent="0.3">
      <c r="A22" s="6" t="str">
        <f>'Konstanta b triple'!A22</f>
        <v>Oil A 1000 LT</v>
      </c>
      <c r="B22" s="6">
        <f>$S$1*('Single Exponen'!B22-('Konstanta c triple'!$S$2*'Double Exponen'!B22)+'triple exponen'!B22)</f>
        <v>0</v>
      </c>
      <c r="C22" s="6">
        <f>$S$1*('Single Exponen'!C22-('Konstanta c triple'!$S$2*'Double Exponen'!C22)+'triple exponen'!C22)</f>
        <v>1200.5311999999994</v>
      </c>
      <c r="D22" s="6">
        <f>$S$1*('Single Exponen'!D22-('Konstanta c triple'!$S$2*'Double Exponen'!D22)+'triple exponen'!D22)</f>
        <v>98.684160000002748</v>
      </c>
      <c r="E22" s="6">
        <f>$S$1*('Single Exponen'!E22-('Konstanta c triple'!$S$2*'Double Exponen'!E22)+'triple exponen'!E22)</f>
        <v>422.79859200000334</v>
      </c>
      <c r="F22" s="6">
        <f>$S$1*('Single Exponen'!F22-('Konstanta c triple'!$S$2*'Double Exponen'!F22)+'triple exponen'!F22)</f>
        <v>-759.20588799999859</v>
      </c>
      <c r="G22" s="6">
        <f>$S$1*('Single Exponen'!G22-('Konstanta c triple'!$S$2*'Double Exponen'!G22)+'triple exponen'!G22)</f>
        <v>1325.8411008000016</v>
      </c>
      <c r="H22" s="6">
        <f>$S$1*('Single Exponen'!H22-('Konstanta c triple'!$S$2*'Double Exponen'!H22)+'triple exponen'!H22)</f>
        <v>2860.3088363520033</v>
      </c>
      <c r="I22" s="6">
        <f>$S$1*('Single Exponen'!I22-('Konstanta c triple'!$S$2*'Double Exponen'!I22)+'triple exponen'!I22)</f>
        <v>-44.352155238399682</v>
      </c>
      <c r="J22" s="6">
        <f>$S$1*('Single Exponen'!J22-('Konstanta c triple'!$S$2*'Double Exponen'!J22)+'triple exponen'!J22)</f>
        <v>-3721.3185449164762</v>
      </c>
      <c r="K22" s="6">
        <f>$S$1*('Single Exponen'!K22-('Konstanta c triple'!$S$2*'Double Exponen'!K22)+'triple exponen'!K22)</f>
        <v>-2465.3375445401571</v>
      </c>
      <c r="L22" s="6">
        <f>$S$1*('Single Exponen'!L22-('Konstanta c triple'!$S$2*'Double Exponen'!L22)+'triple exponen'!L22)</f>
        <v>-1087.6772171939797</v>
      </c>
      <c r="M22" s="6">
        <f>$S$1*('Single Exponen'!M22-('Konstanta c triple'!$S$2*'Double Exponen'!M22)+'triple exponen'!M22)</f>
        <v>179.11675145224504</v>
      </c>
    </row>
    <row r="23" spans="1:13" x14ac:dyDescent="0.3">
      <c r="A23" s="6" t="str">
        <f>'Konstanta b triple'!A23</f>
        <v>Oil B 20 LT</v>
      </c>
      <c r="B23" s="6">
        <f>$S$1*('Single Exponen'!B23-('Konstanta c triple'!$S$2*'Double Exponen'!B23)+'triple exponen'!B23)</f>
        <v>0</v>
      </c>
      <c r="C23" s="6">
        <f>$S$1*('Single Exponen'!C23-('Konstanta c triple'!$S$2*'Double Exponen'!C23)+'triple exponen'!C23)</f>
        <v>252.56640000000016</v>
      </c>
      <c r="D23" s="6">
        <f>$S$1*('Single Exponen'!D23-('Konstanta c triple'!$S$2*'Double Exponen'!D23)+'triple exponen'!D23)</f>
        <v>160.09792000000058</v>
      </c>
      <c r="E23" s="6">
        <f>$S$1*('Single Exponen'!E23-('Konstanta c triple'!$S$2*'Double Exponen'!E23)+'triple exponen'!E23)</f>
        <v>-35.177215999998836</v>
      </c>
      <c r="F23" s="6">
        <f>$S$1*('Single Exponen'!F23-('Konstanta c triple'!$S$2*'Double Exponen'!F23)+'triple exponen'!F23)</f>
        <v>2416.725120000001</v>
      </c>
      <c r="G23" s="6">
        <f>$S$1*('Single Exponen'!G23-('Konstanta c triple'!$S$2*'Double Exponen'!G23)+'triple exponen'!G23)</f>
        <v>-563.47391999999923</v>
      </c>
      <c r="H23" s="6">
        <f>$S$1*('Single Exponen'!H23-('Konstanta c triple'!$S$2*'Double Exponen'!H23)+'triple exponen'!H23)</f>
        <v>-1043.8011842559986</v>
      </c>
      <c r="I23" s="6">
        <f>$S$1*('Single Exponen'!I23-('Konstanta c triple'!$S$2*'Double Exponen'!I23)+'triple exponen'!I23)</f>
        <v>-307.8552721407986</v>
      </c>
      <c r="J23" s="6">
        <f>$S$1*('Single Exponen'!J23-('Konstanta c triple'!$S$2*'Double Exponen'!J23)+'triple exponen'!J23)</f>
        <v>-93.715137576959251</v>
      </c>
      <c r="K23" s="6">
        <f>$S$1*('Single Exponen'!K23-('Konstanta c triple'!$S$2*'Double Exponen'!K23)+'triple exponen'!K23)</f>
        <v>1082.4761904742418</v>
      </c>
      <c r="L23" s="6">
        <f>$S$1*('Single Exponen'!L23-('Konstanta c triple'!$S$2*'Double Exponen'!L23)+'triple exponen'!L23)</f>
        <v>-995.9632473456636</v>
      </c>
      <c r="M23" s="6">
        <f>$S$1*('Single Exponen'!M23-('Konstanta c triple'!$S$2*'Double Exponen'!M23)+'triple exponen'!M23)</f>
        <v>-1031.2064406509971</v>
      </c>
    </row>
    <row r="24" spans="1:13" x14ac:dyDescent="0.3">
      <c r="A24" s="6" t="str">
        <f>'Konstanta b triple'!A24</f>
        <v>Oil B 200 LT</v>
      </c>
      <c r="B24" s="6">
        <f>$S$1*('Single Exponen'!B24-('Konstanta c triple'!$S$2*'Double Exponen'!B24)+'triple exponen'!B24)</f>
        <v>0</v>
      </c>
      <c r="C24" s="6">
        <f>$S$1*('Single Exponen'!C24-('Konstanta c triple'!$S$2*'Double Exponen'!C24)+'triple exponen'!C24)</f>
        <v>1564.4710400000004</v>
      </c>
      <c r="D24" s="6">
        <f>$S$1*('Single Exponen'!D24-('Konstanta c triple'!$S$2*'Double Exponen'!D24)+'triple exponen'!D24)</f>
        <v>868.79795200000058</v>
      </c>
      <c r="E24" s="6">
        <f>$S$1*('Single Exponen'!E24-('Konstanta c triple'!$S$2*'Double Exponen'!E24)+'triple exponen'!E24)</f>
        <v>215.95479040000126</v>
      </c>
      <c r="F24" s="6">
        <f>$S$1*('Single Exponen'!F24-('Konstanta c triple'!$S$2*'Double Exponen'!F24)+'triple exponen'!F24)</f>
        <v>341.0990592000017</v>
      </c>
      <c r="G24" s="6">
        <f>$S$1*('Single Exponen'!G24-('Konstanta c triple'!$S$2*'Double Exponen'!G24)+'triple exponen'!G24)</f>
        <v>-543.84914943999979</v>
      </c>
      <c r="H24" s="6">
        <f>$S$1*('Single Exponen'!H24-('Konstanta c triple'!$S$2*'Double Exponen'!H24)+'triple exponen'!H24)</f>
        <v>1596.8194217984001</v>
      </c>
      <c r="I24" s="6">
        <f>$S$1*('Single Exponen'!I24-('Konstanta c triple'!$S$2*'Double Exponen'!I24)+'triple exponen'!I24)</f>
        <v>-130.2860825804803</v>
      </c>
      <c r="J24" s="6">
        <f>$S$1*('Single Exponen'!J24-('Konstanta c triple'!$S$2*'Double Exponen'!J24)+'triple exponen'!J24)</f>
        <v>-928.74206046617496</v>
      </c>
      <c r="K24" s="6">
        <f>$S$1*('Single Exponen'!K24-('Konstanta c triple'!$S$2*'Double Exponen'!K24)+'triple exponen'!K24)</f>
        <v>478.26513545625829</v>
      </c>
      <c r="L24" s="6">
        <f>$S$1*('Single Exponen'!L24-('Konstanta c triple'!$S$2*'Double Exponen'!L24)+'triple exponen'!L24)</f>
        <v>332.81111528735272</v>
      </c>
      <c r="M24" s="6">
        <f>$S$1*('Single Exponen'!M24-('Konstanta c triple'!$S$2*'Double Exponen'!M24)+'triple exponen'!M24)</f>
        <v>-522.81574383621864</v>
      </c>
    </row>
    <row r="25" spans="1:13" x14ac:dyDescent="0.3">
      <c r="A25" s="6">
        <f>'Konstanta b triple'!A25</f>
        <v>0.5</v>
      </c>
      <c r="B25" s="6" t="str">
        <f>'Konstanta b triple'!B25</f>
        <v>T1</v>
      </c>
      <c r="C25" s="6" t="str">
        <f>'Konstanta b triple'!C25</f>
        <v>T2</v>
      </c>
      <c r="D25" s="6" t="str">
        <f>'Konstanta b triple'!D25</f>
        <v>T3</v>
      </c>
      <c r="E25" s="6" t="str">
        <f>'Konstanta b triple'!E25</f>
        <v>T4</v>
      </c>
      <c r="F25" s="6" t="str">
        <f>'Konstanta b triple'!F25</f>
        <v>T5</v>
      </c>
      <c r="G25" s="6" t="str">
        <f>'Konstanta b triple'!G25</f>
        <v>T6</v>
      </c>
      <c r="H25" s="6" t="str">
        <f>'Konstanta b triple'!H25</f>
        <v>T7</v>
      </c>
      <c r="I25" s="6" t="str">
        <f>'Konstanta b triple'!I25</f>
        <v>T8</v>
      </c>
      <c r="J25" s="6" t="str">
        <f>'Konstanta b triple'!J25</f>
        <v>T9</v>
      </c>
      <c r="K25" s="6" t="str">
        <f>'Konstanta b triple'!K25</f>
        <v>T10</v>
      </c>
      <c r="L25" s="6" t="str">
        <f>'Konstanta b triple'!L25</f>
        <v>T11</v>
      </c>
      <c r="M25" s="6" t="str">
        <f>'Konstanta b triple'!M25</f>
        <v>T12</v>
      </c>
    </row>
    <row r="26" spans="1:13" x14ac:dyDescent="0.3">
      <c r="A26" s="6" t="str">
        <f>'Konstanta b triple'!A26</f>
        <v>Oil A 20 LT</v>
      </c>
      <c r="B26" s="6">
        <f>$T$1*('Single Exponen'!B26-('Konstanta c triple'!$T$2*'Double Exponen'!B26)+'triple exponen'!B26)</f>
        <v>0</v>
      </c>
      <c r="C26" s="6">
        <f>$T$1*('Single Exponen'!C26-('Konstanta c triple'!$T$2*'Double Exponen'!C26)+'triple exponen'!C26)</f>
        <v>-974.79249999999956</v>
      </c>
      <c r="D26" s="6">
        <f>$T$1*('Single Exponen'!D26-('Konstanta c triple'!$T$2*'Double Exponen'!D26)+'triple exponen'!D26)</f>
        <v>1542.1150000000016</v>
      </c>
      <c r="E26" s="6">
        <f>$T$1*('Single Exponen'!E26-('Konstanta c triple'!$T$2*'Double Exponen'!E26)+'triple exponen'!E26)</f>
        <v>-225.85312499999782</v>
      </c>
      <c r="F26" s="6">
        <f>$T$1*('Single Exponen'!F26-('Konstanta c triple'!$T$2*'Double Exponen'!F26)+'triple exponen'!F26)</f>
        <v>-627.2699999999968</v>
      </c>
      <c r="G26" s="6">
        <f>$T$1*('Single Exponen'!G26-('Konstanta c triple'!$T$2*'Double Exponen'!G26)+'triple exponen'!G26)</f>
        <v>-441.87453124999774</v>
      </c>
      <c r="H26" s="6">
        <f>$T$1*('Single Exponen'!H26-('Konstanta c triple'!$T$2*'Double Exponen'!H26)+'triple exponen'!H26)</f>
        <v>1153.2015625000022</v>
      </c>
      <c r="I26" s="6">
        <f>$T$1*('Single Exponen'!I26-('Konstanta c triple'!$T$2*'Double Exponen'!I26)+'triple exponen'!I26)</f>
        <v>-179.79550781249782</v>
      </c>
      <c r="J26" s="6">
        <f>$T$1*('Single Exponen'!J26-('Konstanta c triple'!$T$2*'Double Exponen'!J26)+'triple exponen'!J26)</f>
        <v>-306.6299999999992</v>
      </c>
      <c r="K26" s="6">
        <f>$T$1*('Single Exponen'!K26-('Konstanta c triple'!$T$2*'Double Exponen'!K26)+'triple exponen'!K26)</f>
        <v>-471.95817382812493</v>
      </c>
      <c r="L26" s="6">
        <f>$T$1*('Single Exponen'!L26-('Konstanta c triple'!$T$2*'Double Exponen'!L26)+'triple exponen'!L26)</f>
        <v>1027.9133007812525</v>
      </c>
      <c r="M26" s="6">
        <f>$T$1*('Single Exponen'!M26-('Konstanta c triple'!$T$2*'Double Exponen'!M26)+'triple exponen'!M26)</f>
        <v>-141.01141845703023</v>
      </c>
    </row>
    <row r="27" spans="1:13" x14ac:dyDescent="0.3">
      <c r="A27" s="6" t="str">
        <f>'Konstanta b triple'!A27</f>
        <v>Oil A 200 LT</v>
      </c>
      <c r="B27" s="6">
        <f>$T$1*('Single Exponen'!B27-('Konstanta c triple'!$T$2*'Double Exponen'!B27)+'triple exponen'!B27)</f>
        <v>0</v>
      </c>
      <c r="C27" s="6">
        <f>$T$1*('Single Exponen'!C27-('Konstanta c triple'!$T$2*'Double Exponen'!C27)+'triple exponen'!C27)</f>
        <v>-7836.8774999999441</v>
      </c>
      <c r="D27" s="6">
        <f>$T$1*('Single Exponen'!D27-('Konstanta c triple'!$T$2*'Double Exponen'!D27)+'triple exponen'!D27)</f>
        <v>-4916.1612499998882</v>
      </c>
      <c r="E27" s="6">
        <f>$T$1*('Single Exponen'!E27-('Konstanta c triple'!$T$2*'Double Exponen'!E27)+'triple exponen'!E27)</f>
        <v>14084.278750000114</v>
      </c>
      <c r="F27" s="6">
        <f>$T$1*('Single Exponen'!F27-('Konstanta c triple'!$T$2*'Double Exponen'!F27)+'triple exponen'!F27)</f>
        <v>-28852.275624999835</v>
      </c>
      <c r="G27" s="6">
        <f>$T$1*('Single Exponen'!G27-('Konstanta c triple'!$T$2*'Double Exponen'!G27)+'triple exponen'!G27)</f>
        <v>5795.9498437501024</v>
      </c>
      <c r="H27" s="6">
        <f>$T$1*('Single Exponen'!H27-('Konstanta c triple'!$T$2*'Double Exponen'!H27)+'triple exponen'!H27)</f>
        <v>20595.49882812507</v>
      </c>
      <c r="I27" s="6">
        <f>$T$1*('Single Exponen'!I27-('Konstanta c triple'!$T$2*'Double Exponen'!I27)+'triple exponen'!I27)</f>
        <v>18336.663906250033</v>
      </c>
      <c r="J27" s="6">
        <f>$T$1*('Single Exponen'!J27-('Konstanta c triple'!$T$2*'Double Exponen'!J27)+'triple exponen'!J27)</f>
        <v>6898.7604687500861</v>
      </c>
      <c r="K27" s="6">
        <f>$T$1*('Single Exponen'!K27-('Konstanta c triple'!$T$2*'Double Exponen'!K27)+'triple exponen'!K27)</f>
        <v>575.57012695318554</v>
      </c>
      <c r="L27" s="6">
        <f>$T$1*('Single Exponen'!L27-('Konstanta c triple'!$T$2*'Double Exponen'!L27)+'triple exponen'!L27)</f>
        <v>-9214.2271728514461</v>
      </c>
      <c r="M27" s="6">
        <f>$T$1*('Single Exponen'!M27-('Konstanta c triple'!$T$2*'Double Exponen'!M27)+'triple exponen'!M27)</f>
        <v>-14286.650795898342</v>
      </c>
    </row>
    <row r="28" spans="1:13" x14ac:dyDescent="0.3">
      <c r="A28" s="6" t="str">
        <f>'Konstanta b triple'!A28</f>
        <v>Oil A 1000 LT</v>
      </c>
      <c r="B28" s="6">
        <f>$T$1*('Single Exponen'!B28-('Konstanta c triple'!$T$2*'Double Exponen'!B28)+'triple exponen'!B28)</f>
        <v>0</v>
      </c>
      <c r="C28" s="6">
        <f>$T$1*('Single Exponen'!C28-('Konstanta c triple'!$T$2*'Double Exponen'!C28)+'triple exponen'!C28)</f>
        <v>2344.7874999999985</v>
      </c>
      <c r="D28" s="6">
        <f>$T$1*('Single Exponen'!D28-('Konstanta c triple'!$T$2*'Double Exponen'!D28)+'triple exponen'!D28)</f>
        <v>-510.69374999999854</v>
      </c>
      <c r="E28" s="6">
        <f>$T$1*('Single Exponen'!E28-('Konstanta c triple'!$T$2*'Double Exponen'!E28)+'triple exponen'!E28)</f>
        <v>486.58125000000291</v>
      </c>
      <c r="F28" s="6">
        <f>$T$1*('Single Exponen'!F28-('Konstanta c triple'!$T$2*'Double Exponen'!F28)+'triple exponen'!F28)</f>
        <v>-1861.5468749999927</v>
      </c>
      <c r="G28" s="6">
        <f>$T$1*('Single Exponen'!G28-('Konstanta c triple'!$T$2*'Double Exponen'!G28)+'triple exponen'!G28)</f>
        <v>2887.7320312500087</v>
      </c>
      <c r="H28" s="6">
        <f>$T$1*('Single Exponen'!H28-('Konstanta c triple'!$T$2*'Double Exponen'!H28)+'triple exponen'!H28)</f>
        <v>4934.1433593750044</v>
      </c>
      <c r="I28" s="6">
        <f>$T$1*('Single Exponen'!I28-('Konstanta c triple'!$T$2*'Double Exponen'!I28)+'triple exponen'!I28)</f>
        <v>-2022.6898437499913</v>
      </c>
      <c r="J28" s="6">
        <f>$T$1*('Single Exponen'!J28-('Konstanta c triple'!$T$2*'Double Exponen'!J28)+'triple exponen'!J28)</f>
        <v>-8011.8257812499942</v>
      </c>
      <c r="K28" s="6">
        <f>$T$1*('Single Exponen'!K28-('Konstanta c triple'!$T$2*'Double Exponen'!K28)+'triple exponen'!K28)</f>
        <v>-2916.553369140609</v>
      </c>
      <c r="L28" s="6">
        <f>$T$1*('Single Exponen'!L28-('Konstanta c triple'!$T$2*'Double Exponen'!L28)+'triple exponen'!L28)</f>
        <v>93.090551757821231</v>
      </c>
      <c r="M28" s="6">
        <f>$T$1*('Single Exponen'!M28-('Konstanta c triple'!$T$2*'Double Exponen'!M28)+'triple exponen'!M28)</f>
        <v>1868.8851318359411</v>
      </c>
    </row>
    <row r="29" spans="1:13" x14ac:dyDescent="0.3">
      <c r="A29" s="6" t="str">
        <f>'Konstanta b triple'!A29</f>
        <v>Oil B 20 LT</v>
      </c>
      <c r="B29" s="6">
        <f>$T$1*('Single Exponen'!B29-('Konstanta c triple'!$T$2*'Double Exponen'!B29)+'triple exponen'!B29)</f>
        <v>0</v>
      </c>
      <c r="C29" s="6">
        <f>$T$1*('Single Exponen'!C29-('Konstanta c triple'!$T$2*'Double Exponen'!C29)+'triple exponen'!C29)</f>
        <v>493.29375000000164</v>
      </c>
      <c r="D29" s="6">
        <f>$T$1*('Single Exponen'!D29-('Konstanta c triple'!$T$2*'Double Exponen'!D29)+'triple exponen'!D29)</f>
        <v>164.70312500000091</v>
      </c>
      <c r="E29" s="6">
        <f>$T$1*('Single Exponen'!E29-('Konstanta c triple'!$T$2*'Double Exponen'!E29)+'triple exponen'!E29)</f>
        <v>-221.70812500000011</v>
      </c>
      <c r="F29" s="6">
        <f>$T$1*('Single Exponen'!F29-('Konstanta c triple'!$T$2*'Double Exponen'!F29)+'triple exponen'!F29)</f>
        <v>4680.5634374999991</v>
      </c>
      <c r="G29" s="6">
        <f>$T$1*('Single Exponen'!G29-('Konstanta c triple'!$T$2*'Double Exponen'!G29)+'triple exponen'!G29)</f>
        <v>-2530.8633593750019</v>
      </c>
      <c r="H29" s="6">
        <f>$T$1*('Single Exponen'!H29-('Konstanta c triple'!$T$2*'Double Exponen'!H29)+'triple exponen'!H29)</f>
        <v>-2279.5223828124981</v>
      </c>
      <c r="I29" s="6">
        <f>$T$1*('Single Exponen'!I29-('Konstanta c triple'!$T$2*'Double Exponen'!I29)+'triple exponen'!I29)</f>
        <v>-75.865624999996726</v>
      </c>
      <c r="J29" s="6">
        <f>$T$1*('Single Exponen'!J29-('Konstanta c triple'!$T$2*'Double Exponen'!J29)+'triple exponen'!J29)</f>
        <v>214.69917968750451</v>
      </c>
      <c r="K29" s="6">
        <f>$T$1*('Single Exponen'!K29-('Konstanta c triple'!$T$2*'Double Exponen'!K29)+'triple exponen'!K29)</f>
        <v>2328.657690429689</v>
      </c>
      <c r="L29" s="6">
        <f>$T$1*('Single Exponen'!L29-('Konstanta c triple'!$T$2*'Double Exponen'!L29)+'triple exponen'!L29)</f>
        <v>-2496.1460522460948</v>
      </c>
      <c r="M29" s="6">
        <f>$T$1*('Single Exponen'!M29-('Konstanta c triple'!$T$2*'Double Exponen'!M29)+'triple exponen'!M29)</f>
        <v>-1653.6324487304664</v>
      </c>
    </row>
    <row r="30" spans="1:13" x14ac:dyDescent="0.3">
      <c r="A30" s="6" t="str">
        <f>'Konstanta b triple'!A30</f>
        <v>Oil B 200 LT</v>
      </c>
      <c r="B30" s="6">
        <f>$T$1*('Single Exponen'!B30-('Konstanta c triple'!$T$2*'Double Exponen'!B30)+'triple exponen'!B30)</f>
        <v>0</v>
      </c>
      <c r="C30" s="6">
        <f>$T$1*('Single Exponen'!C30-('Konstanta c triple'!$T$2*'Double Exponen'!C30)+'triple exponen'!C30)</f>
        <v>3055.6074999999996</v>
      </c>
      <c r="D30" s="6">
        <f>$T$1*('Single Exponen'!D30-('Konstanta c triple'!$T$2*'Double Exponen'!D30)+'triple exponen'!D30)</f>
        <v>780.18875000000116</v>
      </c>
      <c r="E30" s="6">
        <f>$T$1*('Single Exponen'!E30-('Konstanta c triple'!$T$2*'Double Exponen'!E30)+'triple exponen'!E30)</f>
        <v>-453.9474999999984</v>
      </c>
      <c r="F30" s="6">
        <f>$T$1*('Single Exponen'!F30-('Konstanta c triple'!$T$2*'Double Exponen'!F30)+'triple exponen'!F30)</f>
        <v>195.49062499999854</v>
      </c>
      <c r="G30" s="6">
        <f>$T$1*('Single Exponen'!G30-('Konstanta c triple'!$T$2*'Double Exponen'!G30)+'triple exponen'!G30)</f>
        <v>-1441.1560937499999</v>
      </c>
      <c r="H30" s="6">
        <f>$T$1*('Single Exponen'!H30-('Konstanta c triple'!$T$2*'Double Exponen'!H30)+'triple exponen'!H30)</f>
        <v>3294.0619531250013</v>
      </c>
      <c r="I30" s="6">
        <f>$T$1*('Single Exponen'!I30-('Konstanta c triple'!$T$2*'Double Exponen'!I30)+'triple exponen'!I30)</f>
        <v>-1112.9699218749993</v>
      </c>
      <c r="J30" s="6">
        <f>$T$1*('Single Exponen'!J30-('Konstanta c triple'!$T$2*'Double Exponen'!J30)+'triple exponen'!J30)</f>
        <v>-2078.3308593749971</v>
      </c>
      <c r="K30" s="6">
        <f>$T$1*('Single Exponen'!K30-('Konstanta c triple'!$T$2*'Double Exponen'!K30)+'triple exponen'!K30)</f>
        <v>1379.7288964843865</v>
      </c>
      <c r="L30" s="6">
        <f>$T$1*('Single Exponen'!L30-('Konstanta c triple'!$T$2*'Double Exponen'!L30)+'triple exponen'!L30)</f>
        <v>553.74024902344536</v>
      </c>
      <c r="M30" s="6">
        <f>$T$1*('Single Exponen'!M30-('Konstanta c triple'!$T$2*'Double Exponen'!M30)+'triple exponen'!M30)</f>
        <v>-1254.4876562499921</v>
      </c>
    </row>
    <row r="31" spans="1:13" x14ac:dyDescent="0.3">
      <c r="A31" s="6">
        <f>'Konstanta b triple'!A31</f>
        <v>0.6</v>
      </c>
      <c r="B31" s="6" t="str">
        <f>'Konstanta b triple'!B31</f>
        <v>T1</v>
      </c>
      <c r="C31" s="6" t="str">
        <f>'Konstanta b triple'!C31</f>
        <v>T2</v>
      </c>
      <c r="D31" s="6" t="str">
        <f>'Konstanta b triple'!D31</f>
        <v>T3</v>
      </c>
      <c r="E31" s="6" t="str">
        <f>'Konstanta b triple'!E31</f>
        <v>T4</v>
      </c>
      <c r="F31" s="6" t="str">
        <f>'Konstanta b triple'!F31</f>
        <v>T5</v>
      </c>
      <c r="G31" s="6" t="str">
        <f>'Konstanta b triple'!G31</f>
        <v>T6</v>
      </c>
      <c r="H31" s="6" t="str">
        <f>'Konstanta b triple'!H31</f>
        <v>T7</v>
      </c>
      <c r="I31" s="6" t="str">
        <f>'Konstanta b triple'!I31</f>
        <v>T8</v>
      </c>
      <c r="J31" s="6" t="str">
        <f>'Konstanta b triple'!J31</f>
        <v>T9</v>
      </c>
      <c r="K31" s="6" t="str">
        <f>'Konstanta b triple'!K31</f>
        <v>T10</v>
      </c>
      <c r="L31" s="6" t="str">
        <f>'Konstanta b triple'!L31</f>
        <v>T11</v>
      </c>
      <c r="M31" s="6" t="str">
        <f>'Konstanta b triple'!M31</f>
        <v>T12</v>
      </c>
    </row>
    <row r="32" spans="1:13" x14ac:dyDescent="0.3">
      <c r="A32" s="6" t="str">
        <f>'Konstanta b triple'!A32</f>
        <v>Oil A 20 LT</v>
      </c>
      <c r="B32" s="6">
        <f>$U$1*('Single Exponen'!B32-('Konstanta c triple'!$U$2*'Double Exponen'!B32)+'triple exponen'!B32)</f>
        <v>0</v>
      </c>
      <c r="C32" s="6">
        <f>$U$1*('Single Exponen'!C32-('Konstanta c triple'!$U$2*'Double Exponen'!C32)+'triple exponen'!C32)</f>
        <v>-9053.8727399999971</v>
      </c>
      <c r="D32" s="6">
        <f>$U$1*('Single Exponen'!D32-('Konstanta c triple'!$U$2*'Double Exponen'!D32)+'triple exponen'!D32)</f>
        <v>7248.5100720000009</v>
      </c>
      <c r="E32" s="6">
        <f>$U$1*('Single Exponen'!E32-('Konstanta c triple'!$U$2*'Double Exponen'!E32)+'triple exponen'!E32)</f>
        <v>876.36132359999624</v>
      </c>
      <c r="F32" s="6">
        <f>$U$1*('Single Exponen'!F32-('Konstanta c triple'!$U$2*'Double Exponen'!F32)+'triple exponen'!F32)</f>
        <v>-3697.3103777999977</v>
      </c>
      <c r="G32" s="6">
        <f>$U$1*('Single Exponen'!G32-('Konstanta c triple'!$U$2*'Double Exponen'!G32)+'triple exponen'!G32)</f>
        <v>-6095.117796659998</v>
      </c>
      <c r="H32" s="6">
        <f>$U$1*('Single Exponen'!H32-('Konstanta c triple'!$U$2*'Double Exponen'!H32)+'triple exponen'!H32)</f>
        <v>5163.4611487404027</v>
      </c>
      <c r="I32" s="6">
        <f>$U$1*('Single Exponen'!I32-('Konstanta c triple'!$U$2*'Double Exponen'!I32)+'triple exponen'!I32)</f>
        <v>327.01955951627764</v>
      </c>
      <c r="J32" s="6">
        <f>$U$1*('Single Exponen'!J32-('Konstanta c triple'!$U$2*'Double Exponen'!J32)+'triple exponen'!J32)</f>
        <v>-1536.4455324329263</v>
      </c>
      <c r="K32" s="6">
        <f>$U$1*('Single Exponen'!K32-('Konstanta c triple'!$U$2*'Double Exponen'!K32)+'triple exponen'!K32)</f>
        <v>-4963.8098420916722</v>
      </c>
      <c r="L32" s="6">
        <f>$U$1*('Single Exponen'!L32-('Konstanta c triple'!$U$2*'Double Exponen'!L32)+'triple exponen'!L32)</f>
        <v>5479.8574235554679</v>
      </c>
      <c r="M32" s="6">
        <f>$U$1*('Single Exponen'!M32-('Konstanta c triple'!$U$2*'Double Exponen'!M32)+'triple exponen'!M32)</f>
        <v>1477.3335044146286</v>
      </c>
    </row>
    <row r="33" spans="1:13" x14ac:dyDescent="0.3">
      <c r="A33" s="6" t="str">
        <f>'Konstanta b triple'!A33</f>
        <v>Oil A 200 LT</v>
      </c>
      <c r="B33" s="6">
        <f>$U$1*('Single Exponen'!B33-('Konstanta c triple'!$U$2*'Double Exponen'!B33)+'triple exponen'!B33)</f>
        <v>0</v>
      </c>
      <c r="C33" s="6">
        <f>$U$1*('Single Exponen'!C33-('Konstanta c triple'!$U$2*'Double Exponen'!C33)+'triple exponen'!C33)</f>
        <v>-72788.918219999978</v>
      </c>
      <c r="D33" s="6">
        <f>$U$1*('Single Exponen'!D33-('Konstanta c triple'!$U$2*'Double Exponen'!D33)+'triple exponen'!D33)</f>
        <v>-102538.22783399996</v>
      </c>
      <c r="E33" s="6">
        <f>$U$1*('Single Exponen'!E33-('Konstanta c triple'!$U$2*'Double Exponen'!E33)+'triple exponen'!E33)</f>
        <v>29066.610115799944</v>
      </c>
      <c r="F33" s="6">
        <f>$U$1*('Single Exponen'!F33-('Konstanta c triple'!$U$2*'Double Exponen'!F33)+'triple exponen'!F33)</f>
        <v>-281435.24257289973</v>
      </c>
      <c r="G33" s="6">
        <f>$U$1*('Single Exponen'!G33-('Konstanta c triple'!$U$2*'Double Exponen'!G33)+'triple exponen'!G33)</f>
        <v>-164919.14994392981</v>
      </c>
      <c r="H33" s="6">
        <f>$U$1*('Single Exponen'!H33-('Konstanta c triple'!$U$2*'Double Exponen'!H33)+'triple exponen'!H33)</f>
        <v>-15704.180823853643</v>
      </c>
      <c r="I33" s="6">
        <f>$U$1*('Single Exponen'!I33-('Konstanta c triple'!$U$2*'Double Exponen'!I33)+'triple exponen'!I33)</f>
        <v>92666.236919609335</v>
      </c>
      <c r="J33" s="6">
        <f>$U$1*('Single Exponen'!J33-('Konstanta c triple'!$U$2*'Double Exponen'!J33)+'triple exponen'!J33)</f>
        <v>125610.3285564012</v>
      </c>
      <c r="K33" s="6">
        <f>$U$1*('Single Exponen'!K33-('Konstanta c triple'!$U$2*'Double Exponen'!K33)+'triple exponen'!K33)</f>
        <v>143667.86363799061</v>
      </c>
      <c r="L33" s="6">
        <f>$U$1*('Single Exponen'!L33-('Konstanta c triple'!$U$2*'Double Exponen'!L33)+'triple exponen'!L33)</f>
        <v>88682.981311375144</v>
      </c>
      <c r="M33" s="6">
        <f>$U$1*('Single Exponen'!M33-('Konstanta c triple'!$U$2*'Double Exponen'!M33)+'triple exponen'!M33)</f>
        <v>3716.6340200274999</v>
      </c>
    </row>
    <row r="34" spans="1:13" x14ac:dyDescent="0.3">
      <c r="A34" s="6" t="str">
        <f>'Konstanta b triple'!A34</f>
        <v>Oil A 1000 LT</v>
      </c>
      <c r="B34" s="6">
        <f>$U$1*('Single Exponen'!B34-('Konstanta c triple'!$U$2*'Double Exponen'!B34)+'triple exponen'!B34)</f>
        <v>0</v>
      </c>
      <c r="C34" s="6">
        <f>$U$1*('Single Exponen'!C34-('Konstanta c triple'!$U$2*'Double Exponen'!C34)+'triple exponen'!C34)</f>
        <v>21778.386299999998</v>
      </c>
      <c r="D34" s="6">
        <f>$U$1*('Single Exponen'!D34-('Konstanta c triple'!$U$2*'Double Exponen'!D34)+'triple exponen'!D34)</f>
        <v>12274.206209999998</v>
      </c>
      <c r="E34" s="6">
        <f>$U$1*('Single Exponen'!E34-('Konstanta c triple'!$U$2*'Double Exponen'!E34)+'triple exponen'!E34)</f>
        <v>20580.639812999987</v>
      </c>
      <c r="F34" s="6">
        <f>$U$1*('Single Exponen'!F34-('Konstanta c triple'!$U$2*'Double Exponen'!F34)+'triple exponen'!F34)</f>
        <v>4144.8605444999948</v>
      </c>
      <c r="G34" s="6">
        <f>$U$1*('Single Exponen'!G34-('Konstanta c triple'!$U$2*'Double Exponen'!G34)+'triple exponen'!G34)</f>
        <v>36968.724684450004</v>
      </c>
      <c r="H34" s="6">
        <f>$U$1*('Single Exponen'!H34-('Konstanta c triple'!$U$2*'Double Exponen'!H34)+'triple exponen'!H34)</f>
        <v>76741.778817476981</v>
      </c>
      <c r="I34" s="6">
        <f>$U$1*('Single Exponen'!I34-('Konstanta c triple'!$U$2*'Double Exponen'!I34)+'triple exponen'!I34)</f>
        <v>51174.239885802897</v>
      </c>
      <c r="J34" s="6">
        <f>$U$1*('Single Exponen'!J34-('Konstanta c triple'!$U$2*'Double Exponen'!J34)+'triple exponen'!J34)</f>
        <v>-10464.560898954021</v>
      </c>
      <c r="K34" s="6">
        <f>$U$1*('Single Exponen'!K34-('Konstanta c triple'!$U$2*'Double Exponen'!K34)+'triple exponen'!K34)</f>
        <v>-15941.429778011696</v>
      </c>
      <c r="L34" s="6">
        <f>$U$1*('Single Exponen'!L34-('Konstanta c triple'!$U$2*'Double Exponen'!L34)+'triple exponen'!L34)</f>
        <v>-13744.927887984724</v>
      </c>
      <c r="M34" s="6">
        <f>$U$1*('Single Exponen'!M34-('Konstanta c triple'!$U$2*'Double Exponen'!M34)+'triple exponen'!M34)</f>
        <v>-4012.7494743731449</v>
      </c>
    </row>
    <row r="35" spans="1:13" x14ac:dyDescent="0.3">
      <c r="A35" s="6" t="str">
        <f>'Konstanta b triple'!A35</f>
        <v>Oil B 20 LT</v>
      </c>
      <c r="B35" s="6">
        <f>$U$1*('Single Exponen'!B35-('Konstanta c triple'!$U$2*'Double Exponen'!B35)+'triple exponen'!B35)</f>
        <v>0</v>
      </c>
      <c r="C35" s="6">
        <f>$U$1*('Single Exponen'!C35-('Konstanta c triple'!$U$2*'Double Exponen'!C35)+'triple exponen'!C35)</f>
        <v>4581.7123499999971</v>
      </c>
      <c r="D35" s="6">
        <f>$U$1*('Single Exponen'!D35-('Konstanta c triple'!$U$2*'Double Exponen'!D35)+'triple exponen'!D35)</f>
        <v>5109.8913450000009</v>
      </c>
      <c r="E35" s="6">
        <f>$U$1*('Single Exponen'!E35-('Konstanta c triple'!$U$2*'Double Exponen'!E35)+'triple exponen'!E35)</f>
        <v>3294.8274285000034</v>
      </c>
      <c r="F35" s="6">
        <f>$U$1*('Single Exponen'!F35-('Konstanta c triple'!$U$2*'Double Exponen'!F35)+'triple exponen'!F35)</f>
        <v>47924.811803249984</v>
      </c>
      <c r="G35" s="6">
        <f>$U$1*('Single Exponen'!G35-('Konstanta c triple'!$U$2*'Double Exponen'!G35)+'triple exponen'!G35)</f>
        <v>15285.625462124994</v>
      </c>
      <c r="H35" s="6">
        <f>$U$1*('Single Exponen'!H35-('Konstanta c triple'!$U$2*'Double Exponen'!H35)+'triple exponen'!H35)</f>
        <v>5076.8350184565006</v>
      </c>
      <c r="I35" s="6">
        <f>$U$1*('Single Exponen'!I35-('Konstanta c triple'!$U$2*'Double Exponen'!I35)+'triple exponen'!I35)</f>
        <v>11207.145374374048</v>
      </c>
      <c r="J35" s="6">
        <f>$U$1*('Single Exponen'!J35-('Konstanta c triple'!$U$2*'Double Exponen'!J35)+'triple exponen'!J35)</f>
        <v>12678.17344674016</v>
      </c>
      <c r="K35" s="6">
        <f>$U$1*('Single Exponen'!K35-('Konstanta c triple'!$U$2*'Double Exponen'!K35)+'triple exponen'!K35)</f>
        <v>33209.500372666836</v>
      </c>
      <c r="L35" s="6">
        <f>$U$1*('Single Exponen'!L35-('Konstanta c triple'!$U$2*'Double Exponen'!L35)+'triple exponen'!L35)</f>
        <v>4969.3079343121617</v>
      </c>
      <c r="M35" s="6">
        <f>$U$1*('Single Exponen'!M35-('Konstanta c triple'!$U$2*'Double Exponen'!M35)+'triple exponen'!M35)</f>
        <v>-2882.4125232855667</v>
      </c>
    </row>
    <row r="36" spans="1:13" x14ac:dyDescent="0.3">
      <c r="A36" s="6" t="str">
        <f>'Konstanta b triple'!A36</f>
        <v>Oil B 200 LT</v>
      </c>
      <c r="B36" s="6">
        <f>$U$1*('Single Exponen'!B36-('Konstanta c triple'!$U$2*'Double Exponen'!B36)+'triple exponen'!B36)</f>
        <v>0</v>
      </c>
      <c r="C36" s="6">
        <f>$U$1*('Single Exponen'!C36-('Konstanta c triple'!$U$2*'Double Exponen'!C36)+'triple exponen'!C36)</f>
        <v>28380.482459999992</v>
      </c>
      <c r="D36" s="6">
        <f>$U$1*('Single Exponen'!D36-('Konstanta c triple'!$U$2*'Double Exponen'!D36)+'triple exponen'!D36)</f>
        <v>29422.770101999991</v>
      </c>
      <c r="E36" s="6">
        <f>$U$1*('Single Exponen'!E36-('Konstanta c triple'!$U$2*'Double Exponen'!E36)+'triple exponen'!E36)</f>
        <v>27206.271408599994</v>
      </c>
      <c r="F36" s="6">
        <f>$U$1*('Single Exponen'!F36-('Konstanta c triple'!$U$2*'Double Exponen'!F36)+'triple exponen'!F36)</f>
        <v>34040.005199099993</v>
      </c>
      <c r="G36" s="6">
        <f>$U$1*('Single Exponen'!G36-('Konstanta c triple'!$U$2*'Double Exponen'!G36)+'triple exponen'!G36)</f>
        <v>23383.435783589994</v>
      </c>
      <c r="H36" s="6">
        <f>$U$1*('Single Exponen'!H36-('Konstanta c triple'!$U$2*'Double Exponen'!H36)+'triple exponen'!H36)</f>
        <v>59942.859949733378</v>
      </c>
      <c r="I36" s="6">
        <f>$U$1*('Single Exponen'!I36-('Konstanta c triple'!$U$2*'Double Exponen'!I36)+'triple exponen'!I36)</f>
        <v>43956.721693657964</v>
      </c>
      <c r="J36" s="6">
        <f>$U$1*('Single Exponen'!J36-('Konstanta c triple'!$U$2*'Double Exponen'!J36)+'triple exponen'!J36)</f>
        <v>31731.041096290126</v>
      </c>
      <c r="K36" s="6">
        <f>$U$1*('Single Exponen'!K36-('Konstanta c triple'!$U$2*'Double Exponen'!K36)+'triple exponen'!K36)</f>
        <v>51756.439226035807</v>
      </c>
      <c r="L36" s="6">
        <f>$U$1*('Single Exponen'!L36-('Konstanta c triple'!$U$2*'Double Exponen'!L36)+'triple exponen'!L36)</f>
        <v>54352.595703412291</v>
      </c>
      <c r="M36" s="6">
        <f>$U$1*('Single Exponen'!M36-('Konstanta c triple'!$U$2*'Double Exponen'!M36)+'triple exponen'!M36)</f>
        <v>43454.102714755187</v>
      </c>
    </row>
    <row r="37" spans="1:13" x14ac:dyDescent="0.3">
      <c r="A37" s="6">
        <f>'Konstanta b triple'!A37</f>
        <v>0.7</v>
      </c>
      <c r="B37" s="6" t="str">
        <f>'Konstanta b triple'!B37</f>
        <v>T1</v>
      </c>
      <c r="C37" s="6" t="str">
        <f>'Konstanta b triple'!C37</f>
        <v>T2</v>
      </c>
      <c r="D37" s="6" t="str">
        <f>'Konstanta b triple'!D37</f>
        <v>T3</v>
      </c>
      <c r="E37" s="6" t="str">
        <f>'Konstanta b triple'!E37</f>
        <v>T4</v>
      </c>
      <c r="F37" s="6" t="str">
        <f>'Konstanta b triple'!F37</f>
        <v>T5</v>
      </c>
      <c r="G37" s="6" t="str">
        <f>'Konstanta b triple'!G37</f>
        <v>T6</v>
      </c>
      <c r="H37" s="6" t="str">
        <f>'Konstanta b triple'!H37</f>
        <v>T7</v>
      </c>
      <c r="I37" s="6" t="str">
        <f>'Konstanta b triple'!I37</f>
        <v>T8</v>
      </c>
      <c r="J37" s="6" t="str">
        <f>'Konstanta b triple'!J37</f>
        <v>T9</v>
      </c>
      <c r="K37" s="6" t="str">
        <f>'Konstanta b triple'!K37</f>
        <v>T10</v>
      </c>
      <c r="L37" s="6" t="str">
        <f>'Konstanta b triple'!L37</f>
        <v>T11</v>
      </c>
      <c r="M37" s="6" t="str">
        <f>'Konstanta b triple'!M37</f>
        <v>T12</v>
      </c>
    </row>
    <row r="38" spans="1:13" x14ac:dyDescent="0.3">
      <c r="A38" s="6" t="str">
        <f>'Konstanta b triple'!A38</f>
        <v>Oil A 20 LT</v>
      </c>
      <c r="B38" s="6">
        <f>$V$1*('Single Exponen'!B38-('Konstanta c triple'!$V$2*'Double Exponen'!B38)+'triple exponen'!B38)</f>
        <v>0</v>
      </c>
      <c r="C38" s="6">
        <f>$V$1*('Single Exponen'!C38-('Konstanta c triple'!$V$2*'Double Exponen'!C38)+'triple exponen'!C38)</f>
        <v>-25856.695993333316</v>
      </c>
      <c r="D38" s="6">
        <f>$V$1*('Single Exponen'!D38-('Konstanta c triple'!$V$2*'Double Exponen'!D38)+'triple exponen'!D38)</f>
        <v>23072.91028</v>
      </c>
      <c r="E38" s="6">
        <f>$V$1*('Single Exponen'!E38-('Konstanta c triple'!$V$2*'Double Exponen'!E38)+'triple exponen'!E38)</f>
        <v>1284.5866557999966</v>
      </c>
      <c r="F38" s="6">
        <f>$V$1*('Single Exponen'!F38-('Konstanta c triple'!$V$2*'Double Exponen'!F38)+'triple exponen'!F38)</f>
        <v>-11139.694161493349</v>
      </c>
      <c r="G38" s="6">
        <f>$V$1*('Single Exponen'!G38-('Konstanta c triple'!$V$2*'Double Exponen'!G38)+'triple exponen'!G38)</f>
        <v>-16604.712479380672</v>
      </c>
      <c r="H38" s="6">
        <f>$V$1*('Single Exponen'!H38-('Konstanta c triple'!$V$2*'Double Exponen'!H38)+'triple exponen'!H38)</f>
        <v>16573.741448456247</v>
      </c>
      <c r="I38" s="6">
        <f>$V$1*('Single Exponen'!I38-('Konstanta c triple'!$V$2*'Double Exponen'!I38)+'triple exponen'!I38)</f>
        <v>105.40403427991902</v>
      </c>
      <c r="J38" s="6">
        <f>$V$1*('Single Exponen'!J38-('Konstanta c triple'!$V$2*'Double Exponen'!J38)+'triple exponen'!J38)</f>
        <v>-4712.571261937398</v>
      </c>
      <c r="K38" s="6">
        <f>$V$1*('Single Exponen'!K38-('Konstanta c triple'!$V$2*'Double Exponen'!K38)+'triple exponen'!K38)</f>
        <v>-13866.656230510824</v>
      </c>
      <c r="L38" s="6">
        <f>$V$1*('Single Exponen'!L38-('Konstanta c triple'!$V$2*'Double Exponen'!L38)+'triple exponen'!L38)</f>
        <v>17039.259256030989</v>
      </c>
      <c r="M38" s="6">
        <f>$V$1*('Single Exponen'!M38-('Konstanta c triple'!$V$2*'Double Exponen'!M38)+'triple exponen'!M38)</f>
        <v>3182.1099070513646</v>
      </c>
    </row>
    <row r="39" spans="1:13" x14ac:dyDescent="0.3">
      <c r="A39" s="6" t="str">
        <f>'Konstanta b triple'!A39</f>
        <v>Oil A 200 LT</v>
      </c>
      <c r="B39" s="6">
        <f>$V$1*('Single Exponen'!B39-('Konstanta c triple'!$V$2*'Double Exponen'!B39)+'triple exponen'!B39)</f>
        <v>0</v>
      </c>
      <c r="C39" s="6">
        <f>$V$1*('Single Exponen'!C39-('Konstanta c triple'!$V$2*'Double Exponen'!C39)+'triple exponen'!C39)</f>
        <v>-207875.78797999973</v>
      </c>
      <c r="D39" s="6">
        <f>$V$1*('Single Exponen'!D39-('Konstanta c triple'!$V$2*'Double Exponen'!D39)+'triple exponen'!D39)</f>
        <v>-273765.42827666661</v>
      </c>
      <c r="E39" s="6">
        <f>$V$1*('Single Exponen'!E39-('Konstanta c triple'!$V$2*'Double Exponen'!E39)+'triple exponen'!E39)</f>
        <v>115349.50517906675</v>
      </c>
      <c r="F39" s="6">
        <f>$V$1*('Single Exponen'!F39-('Konstanta c triple'!$V$2*'Double Exponen'!F39)+'triple exponen'!F39)</f>
        <v>-802086.36987014592</v>
      </c>
      <c r="G39" s="6">
        <f>$V$1*('Single Exponen'!G39-('Konstanta c triple'!$V$2*'Double Exponen'!G39)+'triple exponen'!G39)</f>
        <v>-396799.97423177515</v>
      </c>
      <c r="H39" s="6">
        <f>$V$1*('Single Exponen'!H39-('Konstanta c triple'!$V$2*'Double Exponen'!H39)+'triple exponen'!H39)</f>
        <v>19644.578996700337</v>
      </c>
      <c r="I39" s="6">
        <f>$V$1*('Single Exponen'!I39-('Konstanta c triple'!$V$2*'Double Exponen'!I39)+'triple exponen'!I39)</f>
        <v>287223.1582682539</v>
      </c>
      <c r="J39" s="6">
        <f>$V$1*('Single Exponen'!J39-('Konstanta c triple'!$V$2*'Double Exponen'!J39)+'triple exponen'!J39)</f>
        <v>340873.92649501847</v>
      </c>
      <c r="K39" s="6">
        <f>$V$1*('Single Exponen'!K39-('Konstanta c triple'!$V$2*'Double Exponen'!K39)+'triple exponen'!K39)</f>
        <v>372226.62581226078</v>
      </c>
      <c r="L39" s="6">
        <f>$V$1*('Single Exponen'!L39-('Konstanta c triple'!$V$2*'Double Exponen'!L39)+'triple exponen'!L39)</f>
        <v>204694.00613959145</v>
      </c>
      <c r="M39" s="6">
        <f>$V$1*('Single Exponen'!M39-('Konstanta c triple'!$V$2*'Double Exponen'!M39)+'triple exponen'!M39)</f>
        <v>-26543.37551957398</v>
      </c>
    </row>
    <row r="40" spans="1:13" x14ac:dyDescent="0.3">
      <c r="A40" s="6" t="str">
        <f>'Konstanta b triple'!A40</f>
        <v>Oil A 1000 LT</v>
      </c>
      <c r="B40" s="6">
        <f>$V$1*('Single Exponen'!B40-('Konstanta c triple'!$V$2*'Double Exponen'!B40)+'triple exponen'!B40)</f>
        <v>0</v>
      </c>
      <c r="C40" s="6">
        <f>$V$1*('Single Exponen'!C40-('Konstanta c triple'!$V$2*'Double Exponen'!C40)+'triple exponen'!C40)</f>
        <v>62196.270033333269</v>
      </c>
      <c r="D40" s="6">
        <f>$V$1*('Single Exponen'!D40-('Konstanta c triple'!$V$2*'Double Exponen'!D40)+'triple exponen'!D40)</f>
        <v>29347.657383333346</v>
      </c>
      <c r="E40" s="6">
        <f>$V$1*('Single Exponen'!E40-('Konstanta c triple'!$V$2*'Double Exponen'!E40)+'triple exponen'!E40)</f>
        <v>53921.970587333337</v>
      </c>
      <c r="F40" s="6">
        <f>$V$1*('Single Exponen'!F40-('Konstanta c triple'!$V$2*'Double Exponen'!F40)+'triple exponen'!F40)</f>
        <v>5055.1415688667121</v>
      </c>
      <c r="G40" s="6">
        <f>$V$1*('Single Exponen'!G40-('Konstanta c triple'!$V$2*'Double Exponen'!G40)+'triple exponen'!G40)</f>
        <v>102549.33119799664</v>
      </c>
      <c r="H40" s="6">
        <f>$V$1*('Single Exponen'!H40-('Konstanta c triple'!$V$2*'Double Exponen'!H40)+'triple exponen'!H40)</f>
        <v>208615.15039284952</v>
      </c>
      <c r="I40" s="6">
        <f>$V$1*('Single Exponen'!I40-('Konstanta c triple'!$V$2*'Double Exponen'!I40)+'triple exponen'!I40)</f>
        <v>123016.64770161473</v>
      </c>
      <c r="J40" s="6">
        <f>$V$1*('Single Exponen'!J40-('Konstanta c triple'!$V$2*'Double Exponen'!J40)+'triple exponen'!J40)</f>
        <v>-49924.822168035331</v>
      </c>
      <c r="K40" s="6">
        <f>$V$1*('Single Exponen'!K40-('Konstanta c triple'!$V$2*'Double Exponen'!K40)+'triple exponen'!K40)</f>
        <v>-48520.78065558285</v>
      </c>
      <c r="L40" s="6">
        <f>$V$1*('Single Exponen'!L40-('Konstanta c triple'!$V$2*'Double Exponen'!L40)+'triple exponen'!L40)</f>
        <v>-35918.321320347932</v>
      </c>
      <c r="M40" s="6">
        <f>$V$1*('Single Exponen'!M40-('Konstanta c triple'!$V$2*'Double Exponen'!M40)+'triple exponen'!M40)</f>
        <v>-6892.1502631155463</v>
      </c>
    </row>
    <row r="41" spans="1:13" x14ac:dyDescent="0.3">
      <c r="A41" s="6" t="str">
        <f>'Konstanta b triple'!A41</f>
        <v>Oil B 20 LT</v>
      </c>
      <c r="B41" s="6">
        <f>$V$1*('Single Exponen'!B41-('Konstanta c triple'!$V$2*'Double Exponen'!B41)+'triple exponen'!B41)</f>
        <v>0</v>
      </c>
      <c r="C41" s="6">
        <f>$V$1*('Single Exponen'!C41-('Konstanta c triple'!$V$2*'Double Exponen'!C41)+'triple exponen'!C41)</f>
        <v>13084.781150000004</v>
      </c>
      <c r="D41" s="6">
        <f>$V$1*('Single Exponen'!D41-('Konstanta c triple'!$V$2*'Double Exponen'!D41)+'triple exponen'!D41)</f>
        <v>13392.792291666667</v>
      </c>
      <c r="E41" s="6">
        <f>$V$1*('Single Exponen'!E41-('Konstanta c triple'!$V$2*'Double Exponen'!E41)+'triple exponen'!E41)</f>
        <v>7726.2479863333374</v>
      </c>
      <c r="F41" s="6">
        <f>$V$1*('Single Exponen'!F41-('Konstanta c triple'!$V$2*'Double Exponen'!F41)+'triple exponen'!F41)</f>
        <v>135521.34621223327</v>
      </c>
      <c r="G41" s="6">
        <f>$V$1*('Single Exponen'!G41-('Konstanta c triple'!$V$2*'Double Exponen'!G41)+'triple exponen'!G41)</f>
        <v>30712.523015918327</v>
      </c>
      <c r="H41" s="6">
        <f>$V$1*('Single Exponen'!H41-('Konstanta c triple'!$V$2*'Double Exponen'!H41)+'triple exponen'!H41)</f>
        <v>6780.4957937301579</v>
      </c>
      <c r="I41" s="6">
        <f>$V$1*('Single Exponen'!I41-('Konstanta c triple'!$V$2*'Double Exponen'!I41)+'triple exponen'!I41)</f>
        <v>28468.499433757584</v>
      </c>
      <c r="J41" s="6">
        <f>$V$1*('Single Exponen'!J41-('Konstanta c triple'!$V$2*'Double Exponen'!J41)+'triple exponen'!J41)</f>
        <v>32263.190754875759</v>
      </c>
      <c r="K41" s="6">
        <f>$V$1*('Single Exponen'!K41-('Konstanta c triple'!$V$2*'Double Exponen'!K41)+'triple exponen'!K41)</f>
        <v>90393.447781671814</v>
      </c>
      <c r="L41" s="6">
        <f>$V$1*('Single Exponen'!L41-('Konstanta c triple'!$V$2*'Double Exponen'!L41)+'triple exponen'!L41)</f>
        <v>4218.2996177370787</v>
      </c>
      <c r="M41" s="6">
        <f>$V$1*('Single Exponen'!M41-('Konstanta c triple'!$V$2*'Double Exponen'!M41)+'triple exponen'!M41)</f>
        <v>-12392.241164702697</v>
      </c>
    </row>
    <row r="42" spans="1:13" x14ac:dyDescent="0.3">
      <c r="A42" s="6" t="str">
        <f>'Konstanta b triple'!A42</f>
        <v>Oil B 200 LT</v>
      </c>
      <c r="B42" s="6">
        <f>$V$1*('Single Exponen'!B42-('Konstanta c triple'!$V$2*'Double Exponen'!B42)+'triple exponen'!B42)</f>
        <v>0</v>
      </c>
      <c r="C42" s="6">
        <f>$V$1*('Single Exponen'!C42-('Konstanta c triple'!$V$2*'Double Exponen'!C42)+'triple exponen'!C42)</f>
        <v>81051.007473333288</v>
      </c>
      <c r="D42" s="6">
        <f>$V$1*('Single Exponen'!D42-('Konstanta c triple'!$V$2*'Double Exponen'!D42)+'triple exponen'!D42)</f>
        <v>76592.013189999954</v>
      </c>
      <c r="E42" s="6">
        <f>$V$1*('Single Exponen'!E42-('Konstanta c triple'!$V$2*'Double Exponen'!E42)+'triple exponen'!E42)</f>
        <v>67854.511543466651</v>
      </c>
      <c r="F42" s="6">
        <f>$V$1*('Single Exponen'!F42-('Konstanta c triple'!$V$2*'Double Exponen'!F42)+'triple exponen'!F42)</f>
        <v>87264.719057506634</v>
      </c>
      <c r="G42" s="6">
        <f>$V$1*('Single Exponen'!G42-('Konstanta c triple'!$V$2*'Double Exponen'!G42)+'triple exponen'!G42)</f>
        <v>55013.185892265981</v>
      </c>
      <c r="H42" s="6">
        <f>$V$1*('Single Exponen'!H42-('Konstanta c triple'!$V$2*'Double Exponen'!H42)+'triple exponen'!H42)</f>
        <v>161693.7581405238</v>
      </c>
      <c r="I42" s="6">
        <f>$V$1*('Single Exponen'!I42-('Konstanta c triple'!$V$2*'Double Exponen'!I42)+'triple exponen'!I42)</f>
        <v>107114.54843898297</v>
      </c>
      <c r="J42" s="6">
        <f>$V$1*('Single Exponen'!J42-('Konstanta c triple'!$V$2*'Double Exponen'!J42)+'triple exponen'!J42)</f>
        <v>73825.392300551306</v>
      </c>
      <c r="K42" s="6">
        <f>$V$1*('Single Exponen'!K42-('Konstanta c triple'!$V$2*'Double Exponen'!K42)+'triple exponen'!K42)</f>
        <v>134690.0275569834</v>
      </c>
      <c r="L42" s="6">
        <f>$V$1*('Single Exponen'!L42-('Konstanta c triple'!$V$2*'Double Exponen'!L42)+'triple exponen'!L42)</f>
        <v>137913.55564968541</v>
      </c>
      <c r="M42" s="6">
        <f>$V$1*('Single Exponen'!M42-('Konstanta c triple'!$V$2*'Double Exponen'!M42)+'triple exponen'!M42)</f>
        <v>104904.03603663993</v>
      </c>
    </row>
    <row r="43" spans="1:13" x14ac:dyDescent="0.3">
      <c r="A43" s="6">
        <f>'Konstanta b triple'!A43</f>
        <v>0.79999999999999993</v>
      </c>
      <c r="B43" s="6" t="str">
        <f>'Konstanta b triple'!B43</f>
        <v>T1</v>
      </c>
      <c r="C43" s="6" t="str">
        <f>'Konstanta b triple'!C43</f>
        <v>T2</v>
      </c>
      <c r="D43" s="6" t="str">
        <f>'Konstanta b triple'!D43</f>
        <v>T3</v>
      </c>
      <c r="E43" s="6" t="str">
        <f>'Konstanta b triple'!E43</f>
        <v>T4</v>
      </c>
      <c r="F43" s="6" t="str">
        <f>'Konstanta b triple'!F43</f>
        <v>T5</v>
      </c>
      <c r="G43" s="6" t="str">
        <f>'Konstanta b triple'!G43</f>
        <v>T6</v>
      </c>
      <c r="H43" s="6" t="str">
        <f>'Konstanta b triple'!H43</f>
        <v>T7</v>
      </c>
      <c r="I43" s="6" t="str">
        <f>'Konstanta b triple'!I43</f>
        <v>T8</v>
      </c>
      <c r="J43" s="6" t="str">
        <f>'Konstanta b triple'!J43</f>
        <v>T9</v>
      </c>
      <c r="K43" s="6" t="str">
        <f>'Konstanta b triple'!K43</f>
        <v>T10</v>
      </c>
      <c r="L43" s="6" t="str">
        <f>'Konstanta b triple'!L43</f>
        <v>T11</v>
      </c>
      <c r="M43" s="6" t="str">
        <f>'Konstanta b triple'!M43</f>
        <v>T12</v>
      </c>
    </row>
    <row r="44" spans="1:13" x14ac:dyDescent="0.3">
      <c r="A44" s="6" t="str">
        <f>'Konstanta b triple'!A44</f>
        <v>Oil A 20 LT</v>
      </c>
      <c r="B44" s="6">
        <f>$W$1*('Single Exponen'!B44-('Konstanta c triple'!$W$2*'Double Exponen'!B44)+'triple exponen'!B44)</f>
        <v>0</v>
      </c>
      <c r="C44" s="6">
        <f>$W$1*('Single Exponen'!C44-('Konstanta c triple'!$W$2*'Double Exponen'!C44)+'triple exponen'!C44)</f>
        <v>-87840.501760000014</v>
      </c>
      <c r="D44" s="6">
        <f>$W$1*('Single Exponen'!D44-('Konstanta c triple'!$W$2*'Double Exponen'!D44)+'triple exponen'!D44)</f>
        <v>86658.040832000028</v>
      </c>
      <c r="E44" s="6">
        <f>$W$1*('Single Exponen'!E44-('Konstanta c triple'!$W$2*'Double Exponen'!E44)+'triple exponen'!E44)</f>
        <v>-1410.033254400013</v>
      </c>
      <c r="F44" s="6">
        <f>$W$1*('Single Exponen'!F44-('Konstanta c triple'!$W$2*'Double Exponen'!F44)+'triple exponen'!F44)</f>
        <v>-39379.428986880026</v>
      </c>
      <c r="G44" s="6">
        <f>$W$1*('Single Exponen'!G44-('Konstanta c triple'!$W$2*'Double Exponen'!G44)+'triple exponen'!G44)</f>
        <v>-53142.939871232062</v>
      </c>
      <c r="H44" s="6">
        <f>$W$1*('Single Exponen'!H44-('Konstanta c triple'!$W$2*'Double Exponen'!H44)+'triple exponen'!H44)</f>
        <v>62254.090324991979</v>
      </c>
      <c r="I44" s="6">
        <f>$W$1*('Single Exponen'!I44-('Konstanta c triple'!$W$2*'Double Exponen'!I44)+'triple exponen'!I44)</f>
        <v>-3788.7683125453214</v>
      </c>
      <c r="J44" s="6">
        <f>$W$1*('Single Exponen'!J44-('Konstanta c triple'!$W$2*'Double Exponen'!J44)+'triple exponen'!J44)</f>
        <v>-16851.026211670058</v>
      </c>
      <c r="K44" s="6">
        <f>$W$1*('Single Exponen'!K44-('Konstanta c triple'!$W$2*'Double Exponen'!K44)+'triple exponen'!K44)</f>
        <v>-45763.137418453291</v>
      </c>
      <c r="L44" s="6">
        <f>$W$1*('Single Exponen'!L44-('Konstanta c triple'!$W$2*'Double Exponen'!L44)+'triple exponen'!L44)</f>
        <v>62585.275061427194</v>
      </c>
      <c r="M44" s="6">
        <f>$W$1*('Single Exponen'!M44-('Konstanta c triple'!$W$2*'Double Exponen'!M44)+'triple exponen'!M44)</f>
        <v>6271.4743236164841</v>
      </c>
    </row>
    <row r="45" spans="1:13" x14ac:dyDescent="0.3">
      <c r="A45" s="6" t="str">
        <f>'Konstanta b triple'!A45</f>
        <v>Oil A 200 LT</v>
      </c>
      <c r="B45" s="6">
        <f>$W$1*('Single Exponen'!B45-('Konstanta c triple'!$W$2*'Double Exponen'!B45)+'triple exponen'!B45)</f>
        <v>0</v>
      </c>
      <c r="C45" s="6">
        <f>$W$1*('Single Exponen'!C45-('Konstanta c triple'!$W$2*'Double Exponen'!C45)+'triple exponen'!C45)</f>
        <v>-706196.70528000081</v>
      </c>
      <c r="D45" s="6">
        <f>$W$1*('Single Exponen'!D45-('Konstanta c triple'!$W$2*'Double Exponen'!D45)+'triple exponen'!D45)</f>
        <v>-863513.1607040005</v>
      </c>
      <c r="E45" s="6">
        <f>$W$1*('Single Exponen'!E45-('Konstanta c triple'!$W$2*'Double Exponen'!E45)+'triple exponen'!E45)</f>
        <v>492417.50599680038</v>
      </c>
      <c r="F45" s="6">
        <f>$W$1*('Single Exponen'!F45-('Konstanta c triple'!$W$2*'Double Exponen'!F45)+'triple exponen'!F45)</f>
        <v>-2742214.8890726399</v>
      </c>
      <c r="G45" s="6">
        <f>$W$1*('Single Exponen'!G45-('Konstanta c triple'!$W$2*'Double Exponen'!G45)+'triple exponen'!G45)</f>
        <v>-1094723.9718184972</v>
      </c>
      <c r="H45" s="6">
        <f>$W$1*('Single Exponen'!H45-('Konstanta c triple'!$W$2*'Double Exponen'!H45)+'triple exponen'!H45)</f>
        <v>242991.24392089638</v>
      </c>
      <c r="I45" s="6">
        <f>$W$1*('Single Exponen'!I45-('Konstanta c triple'!$W$2*'Double Exponen'!I45)+'triple exponen'!I45)</f>
        <v>1003718.6938179478</v>
      </c>
      <c r="J45" s="6">
        <f>$W$1*('Single Exponen'!J45-('Konstanta c triple'!$W$2*'Double Exponen'!J45)+'triple exponen'!J45)</f>
        <v>1071503.6044495066</v>
      </c>
      <c r="K45" s="6">
        <f>$W$1*('Single Exponen'!K45-('Konstanta c triple'!$W$2*'Double Exponen'!K45)+'triple exponen'!K45)</f>
        <v>1138598.094318331</v>
      </c>
      <c r="L45" s="6">
        <f>$W$1*('Single Exponen'!L45-('Konstanta c triple'!$W$2*'Double Exponen'!L45)+'triple exponen'!L45)</f>
        <v>551777.70677147468</v>
      </c>
      <c r="M45" s="6">
        <f>$W$1*('Single Exponen'!M45-('Konstanta c triple'!$W$2*'Double Exponen'!M45)+'triple exponen'!M45)</f>
        <v>-183595.45364423387</v>
      </c>
    </row>
    <row r="46" spans="1:13" x14ac:dyDescent="0.3">
      <c r="A46" s="6" t="str">
        <f>'Konstanta b triple'!A46</f>
        <v>Oil A 1000 LT</v>
      </c>
      <c r="B46" s="6">
        <f>$W$1*('Single Exponen'!B46-('Konstanta c triple'!$W$2*'Double Exponen'!B46)+'triple exponen'!B46)</f>
        <v>0</v>
      </c>
      <c r="C46" s="6">
        <f>$W$1*('Single Exponen'!C46-('Konstanta c triple'!$W$2*'Double Exponen'!C46)+'triple exponen'!C46)</f>
        <v>211293.49120000013</v>
      </c>
      <c r="D46" s="6">
        <f>$W$1*('Single Exponen'!D46-('Konstanta c triple'!$W$2*'Double Exponen'!D46)+'triple exponen'!D46)</f>
        <v>79796.034560000116</v>
      </c>
      <c r="E46" s="6">
        <f>$W$1*('Single Exponen'!E46-('Konstanta c triple'!$W$2*'Double Exponen'!E46)+'triple exponen'!E46)</f>
        <v>169920.11724800017</v>
      </c>
      <c r="F46" s="6">
        <f>$W$1*('Single Exponen'!F46-('Konstanta c triple'!$W$2*'Double Exponen'!F46)+'triple exponen'!F46)</f>
        <v>-2660.0349183999369</v>
      </c>
      <c r="G46" s="6">
        <f>$W$1*('Single Exponen'!G46-('Konstanta c triple'!$W$2*'Double Exponen'!G46)+'triple exponen'!G46)</f>
        <v>342907.9153510402</v>
      </c>
      <c r="H46" s="6">
        <f>$W$1*('Single Exponen'!H46-('Konstanta c triple'!$W$2*'Double Exponen'!H46)+'triple exponen'!H46)</f>
        <v>674829.84414464014</v>
      </c>
      <c r="I46" s="6">
        <f>$W$1*('Single Exponen'!I46-('Konstanta c triple'!$W$2*'Double Exponen'!I46)+'triple exponen'!I46)</f>
        <v>344563.30679055373</v>
      </c>
      <c r="J46" s="6">
        <f>$W$1*('Single Exponen'!J46-('Konstanta c triple'!$W$2*'Double Exponen'!J46)+'triple exponen'!J46)</f>
        <v>-223236.08667749903</v>
      </c>
      <c r="K46" s="6">
        <f>$W$1*('Single Exponen'!K46-('Konstanta c triple'!$W$2*'Double Exponen'!K46)+'triple exponen'!K46)</f>
        <v>-159278.76420776302</v>
      </c>
      <c r="L46" s="6">
        <f>$W$1*('Single Exponen'!L46-('Konstanta c triple'!$W$2*'Double Exponen'!L46)+'triple exponen'!L46)</f>
        <v>-105401.59335463257</v>
      </c>
      <c r="M46" s="6">
        <f>$W$1*('Single Exponen'!M46-('Konstanta c triple'!$W$2*'Double Exponen'!M46)+'triple exponen'!M46)</f>
        <v>-8683.5127983068869</v>
      </c>
    </row>
    <row r="47" spans="1:13" x14ac:dyDescent="0.3">
      <c r="A47" s="6" t="str">
        <f>'Konstanta b triple'!A47</f>
        <v>Oil B 20 LT</v>
      </c>
      <c r="B47" s="6">
        <f>$W$1*('Single Exponen'!B47-('Konstanta c triple'!$W$2*'Double Exponen'!B47)+'triple exponen'!B47)</f>
        <v>0</v>
      </c>
      <c r="C47" s="6">
        <f>$W$1*('Single Exponen'!C47-('Konstanta c triple'!$W$2*'Double Exponen'!C47)+'triple exponen'!C47)</f>
        <v>44451.686400000021</v>
      </c>
      <c r="D47" s="6">
        <f>$W$1*('Single Exponen'!D47-('Konstanta c triple'!$W$2*'Double Exponen'!D47)+'triple exponen'!D47)</f>
        <v>41310.686720000042</v>
      </c>
      <c r="E47" s="6">
        <f>$W$1*('Single Exponen'!E47-('Konstanta c triple'!$W$2*'Double Exponen'!E47)+'triple exponen'!E47)</f>
        <v>21147.100416000016</v>
      </c>
      <c r="F47" s="6">
        <f>$W$1*('Single Exponen'!F47-('Konstanta c triple'!$W$2*'Double Exponen'!F47)+'triple exponen'!F47)</f>
        <v>456929.65368320019</v>
      </c>
      <c r="G47" s="6">
        <f>$W$1*('Single Exponen'!G47-('Konstanta c triple'!$W$2*'Double Exponen'!G47)+'triple exponen'!G47)</f>
        <v>60294.397063680095</v>
      </c>
      <c r="H47" s="6">
        <f>$W$1*('Single Exponen'!H47-('Konstanta c triple'!$W$2*'Double Exponen'!H47)+'triple exponen'!H47)</f>
        <v>4639.0508044800108</v>
      </c>
      <c r="I47" s="6">
        <f>$W$1*('Single Exponen'!I47-('Konstanta c triple'!$W$2*'Double Exponen'!I47)+'triple exponen'!I47)</f>
        <v>90971.63955294725</v>
      </c>
      <c r="J47" s="6">
        <f>$W$1*('Single Exponen'!J47-('Konstanta c triple'!$W$2*'Double Exponen'!J47)+'triple exponen'!J47)</f>
        <v>99382.049231331926</v>
      </c>
      <c r="K47" s="6">
        <f>$W$1*('Single Exponen'!K47-('Konstanta c triple'!$W$2*'Double Exponen'!K47)+'triple exponen'!K47)</f>
        <v>294773.87480851385</v>
      </c>
      <c r="L47" s="6">
        <f>$W$1*('Single Exponen'!L47-('Konstanta c triple'!$W$2*'Double Exponen'!L47)+'triple exponen'!L47)</f>
        <v>-16989.947417558735</v>
      </c>
      <c r="M47" s="6">
        <f>$W$1*('Single Exponen'!M47-('Konstanta c triple'!$W$2*'Double Exponen'!M47)+'triple exponen'!M47)</f>
        <v>-49539.403633903923</v>
      </c>
    </row>
    <row r="48" spans="1:13" x14ac:dyDescent="0.3">
      <c r="A48" s="6" t="str">
        <f>'Konstanta b triple'!A48</f>
        <v>Oil B 200 LT</v>
      </c>
      <c r="B48" s="6">
        <f>$W$1*('Single Exponen'!B48-('Konstanta c triple'!$W$2*'Double Exponen'!B48)+'triple exponen'!B48)</f>
        <v>0</v>
      </c>
      <c r="C48" s="6">
        <f>$W$1*('Single Exponen'!C48-('Konstanta c triple'!$W$2*'Double Exponen'!C48)+'triple exponen'!C48)</f>
        <v>275346.90304000018</v>
      </c>
      <c r="D48" s="6">
        <f>$W$1*('Single Exponen'!D48-('Konstanta c triple'!$W$2*'Double Exponen'!D48)+'triple exponen'!D48)</f>
        <v>234260.93363200015</v>
      </c>
      <c r="E48" s="6">
        <f>$W$1*('Single Exponen'!E48-('Konstanta c triple'!$W$2*'Double Exponen'!E48)+'triple exponen'!E48)</f>
        <v>200958.91650560018</v>
      </c>
      <c r="F48" s="6">
        <f>$W$1*('Single Exponen'!F48-('Konstanta c triple'!$W$2*'Double Exponen'!F48)+'triple exponen'!F48)</f>
        <v>268995.41179392015</v>
      </c>
      <c r="G48" s="6">
        <f>$W$1*('Single Exponen'!G48-('Konstanta c triple'!$W$2*'Double Exponen'!G48)+'triple exponen'!G48)</f>
        <v>153628.16570060817</v>
      </c>
      <c r="H48" s="6">
        <f>$W$1*('Single Exponen'!H48-('Konstanta c triple'!$W$2*'Double Exponen'!H48)+'triple exponen'!H48)</f>
        <v>525236.51472742425</v>
      </c>
      <c r="I48" s="6">
        <f>$W$1*('Single Exponen'!I48-('Konstanta c triple'!$W$2*'Double Exponen'!I48)+'triple exponen'!I48)</f>
        <v>307469.17816998932</v>
      </c>
      <c r="J48" s="6">
        <f>$W$1*('Single Exponen'!J48-('Konstanta c triple'!$W$2*'Double Exponen'!J48)+'triple exponen'!J48)</f>
        <v>205550.95217523832</v>
      </c>
      <c r="K48" s="6">
        <f>$W$1*('Single Exponen'!K48-('Konstanta c triple'!$W$2*'Double Exponen'!K48)+'triple exponen'!K48)</f>
        <v>425151.64237000147</v>
      </c>
      <c r="L48" s="6">
        <f>$W$1*('Single Exponen'!L48-('Konstanta c triple'!$W$2*'Double Exponen'!L48)+'triple exponen'!L48)</f>
        <v>419120.59246502613</v>
      </c>
      <c r="M48" s="6">
        <f>$W$1*('Single Exponen'!M48-('Konstanta c triple'!$W$2*'Double Exponen'!M48)+'triple exponen'!M48)</f>
        <v>302643.22561484185</v>
      </c>
    </row>
    <row r="49" spans="1:13" x14ac:dyDescent="0.3">
      <c r="A49" s="6">
        <f>'Konstanta b triple'!A49</f>
        <v>0.89999999999999991</v>
      </c>
      <c r="B49" s="6" t="str">
        <f>'Konstanta b triple'!B49</f>
        <v>T1</v>
      </c>
      <c r="C49" s="6" t="str">
        <f>'Konstanta b triple'!C49</f>
        <v>T2</v>
      </c>
      <c r="D49" s="6" t="str">
        <f>'Konstanta b triple'!D49</f>
        <v>T3</v>
      </c>
      <c r="E49" s="6" t="str">
        <f>'Konstanta b triple'!E49</f>
        <v>T4</v>
      </c>
      <c r="F49" s="6" t="str">
        <f>'Konstanta b triple'!F49</f>
        <v>T5</v>
      </c>
      <c r="G49" s="6" t="str">
        <f>'Konstanta b triple'!G49</f>
        <v>T6</v>
      </c>
      <c r="H49" s="6" t="str">
        <f>'Konstanta b triple'!H49</f>
        <v>T7</v>
      </c>
      <c r="I49" s="6" t="str">
        <f>'Konstanta b triple'!I49</f>
        <v>T8</v>
      </c>
      <c r="J49" s="6" t="str">
        <f>'Konstanta b triple'!J49</f>
        <v>T9</v>
      </c>
      <c r="K49" s="6" t="str">
        <f>'Konstanta b triple'!K49</f>
        <v>T10</v>
      </c>
      <c r="L49" s="6" t="str">
        <f>'Konstanta b triple'!L49</f>
        <v>T11</v>
      </c>
      <c r="M49" s="6" t="str">
        <f>'Konstanta b triple'!M49</f>
        <v>T12</v>
      </c>
    </row>
    <row r="50" spans="1:13" x14ac:dyDescent="0.3">
      <c r="A50" s="6" t="str">
        <f>'Konstanta b triple'!A50</f>
        <v>Oil A 20 LT</v>
      </c>
      <c r="B50" s="6">
        <f>$X$1*('Single Exponen'!B50-('Konstanta c triple'!$X$2*'Double Exponen'!B50)+'triple exponen'!B50)</f>
        <v>0</v>
      </c>
      <c r="C50" s="6">
        <f>$X$1*('Single Exponen'!C50-('Konstanta c triple'!$X$2*'Double Exponen'!C50)+'triple exponen'!C50)</f>
        <v>-505964.0975400004</v>
      </c>
      <c r="D50" s="6">
        <f>$X$1*('Single Exponen'!D50-('Konstanta c triple'!$X$2*'Double Exponen'!D50)+'triple exponen'!D50)</f>
        <v>548018.15673599998</v>
      </c>
      <c r="E50" s="6">
        <f>$X$1*('Single Exponen'!E50-('Konstanta c triple'!$X$2*'Double Exponen'!E50)+'triple exponen'!E50)</f>
        <v>-51507.326017800202</v>
      </c>
      <c r="F50" s="6">
        <f>$X$1*('Single Exponen'!F50-('Konstanta c triple'!$X$2*'Double Exponen'!F50)+'triple exponen'!F50)</f>
        <v>-230324.63131728044</v>
      </c>
      <c r="G50" s="6">
        <f>$X$1*('Single Exponen'!G50-('Konstanta c triple'!$X$2*'Double Exponen'!G50)+'triple exponen'!G50)</f>
        <v>-284542.87448500236</v>
      </c>
      <c r="H50" s="6">
        <f>$X$1*('Single Exponen'!H50-('Konstanta c triple'!$X$2*'Double Exponen'!H50)+'triple exponen'!H50)</f>
        <v>390276.50562262104</v>
      </c>
      <c r="I50" s="6">
        <f>$X$1*('Single Exponen'!I50-('Konstanta c triple'!$X$2*'Double Exponen'!I50)+'triple exponen'!I50)</f>
        <v>-53328.296104822461</v>
      </c>
      <c r="J50" s="6">
        <f>$X$1*('Single Exponen'!J50-('Konstanta c triple'!$X$2*'Double Exponen'!J50)+'triple exponen'!J50)</f>
        <v>-98064.39326396797</v>
      </c>
      <c r="K50" s="6">
        <f>$X$1*('Single Exponen'!K50-('Konstanta c triple'!$X$2*'Double Exponen'!K50)+'triple exponen'!K50)</f>
        <v>-254321.30785984482</v>
      </c>
      <c r="L50" s="6">
        <f>$X$1*('Single Exponen'!L50-('Konstanta c triple'!$X$2*'Double Exponen'!L50)+'triple exponen'!L50)</f>
        <v>386866.34262938122</v>
      </c>
      <c r="M50" s="6">
        <f>$X$1*('Single Exponen'!M50-('Konstanta c triple'!$X$2*'Double Exponen'!M50)+'triple exponen'!M50)</f>
        <v>3910.323276313939</v>
      </c>
    </row>
    <row r="51" spans="1:13" x14ac:dyDescent="0.3">
      <c r="A51" s="6" t="str">
        <f>'Konstanta b triple'!A51</f>
        <v>Oil A 200 LT</v>
      </c>
      <c r="B51" s="6">
        <f>$X$1*('Single Exponen'!B51-('Konstanta c triple'!$X$2*'Double Exponen'!B51)+'triple exponen'!B51)</f>
        <v>0</v>
      </c>
      <c r="C51" s="6">
        <f>$X$1*('Single Exponen'!C51-('Konstanta c triple'!$X$2*'Double Exponen'!C51)+'triple exponen'!C51)</f>
        <v>-4067715.5926200058</v>
      </c>
      <c r="D51" s="6">
        <f>$X$1*('Single Exponen'!D51-('Konstanta c triple'!$X$2*'Double Exponen'!D51)+'triple exponen'!D51)</f>
        <v>-4581010.9938420011</v>
      </c>
      <c r="E51" s="6">
        <f>$X$1*('Single Exponen'!E51-('Konstanta c triple'!$X$2*'Double Exponen'!E51)+'triple exponen'!E51)</f>
        <v>3355471.9786716024</v>
      </c>
      <c r="F51" s="6">
        <f>$X$1*('Single Exponen'!F51-('Konstanta c triple'!$X$2*'Double Exponen'!F51)+'triple exponen'!F51)</f>
        <v>-16017957.709404849</v>
      </c>
      <c r="G51" s="6">
        <f>$X$1*('Single Exponen'!G51-('Konstanta c triple'!$X$2*'Double Exponen'!G51)+'triple exponen'!G51)</f>
        <v>-4802160.1536975158</v>
      </c>
      <c r="H51" s="6">
        <f>$X$1*('Single Exponen'!H51-('Konstanta c triple'!$X$2*'Double Exponen'!H51)+'triple exponen'!H51)</f>
        <v>2156984.4693877045</v>
      </c>
      <c r="I51" s="6">
        <f>$X$1*('Single Exponen'!I51-('Konstanta c triple'!$X$2*'Double Exponen'!I51)+'triple exponen'!I51)</f>
        <v>5720973.6070443578</v>
      </c>
      <c r="J51" s="6">
        <f>$X$1*('Single Exponen'!J51-('Konstanta c triple'!$X$2*'Double Exponen'!J51)+'triple exponen'!J51)</f>
        <v>5607540.2827418484</v>
      </c>
      <c r="K51" s="6">
        <f>$X$1*('Single Exponen'!K51-('Konstanta c triple'!$X$2*'Double Exponen'!K51)+'triple exponen'!K51)</f>
        <v>5906599.6682220921</v>
      </c>
      <c r="L51" s="6">
        <f>$X$1*('Single Exponen'!L51-('Konstanta c triple'!$X$2*'Double Exponen'!L51)+'triple exponen'!L51)</f>
        <v>2480562.6734267501</v>
      </c>
      <c r="M51" s="6">
        <f>$X$1*('Single Exponen'!M51-('Konstanta c triple'!$X$2*'Double Exponen'!M51)+'triple exponen'!M51)</f>
        <v>-1433293.1430680985</v>
      </c>
    </row>
    <row r="52" spans="1:13" x14ac:dyDescent="0.3">
      <c r="A52" s="6" t="str">
        <f>'Konstanta b triple'!A52</f>
        <v>Oil A 1000 LT</v>
      </c>
      <c r="B52" s="6">
        <f>$X$1*('Single Exponen'!B52-('Konstanta c triple'!$X$2*'Double Exponen'!B52)+'triple exponen'!B52)</f>
        <v>0</v>
      </c>
      <c r="C52" s="6">
        <f>$X$1*('Single Exponen'!C52-('Konstanta c triple'!$X$2*'Double Exponen'!C52)+'triple exponen'!C52)</f>
        <v>1217057.2623000003</v>
      </c>
      <c r="D52" s="6">
        <f>$X$1*('Single Exponen'!D52-('Konstanta c triple'!$X$2*'Double Exponen'!D52)+'triple exponen'!D52)</f>
        <v>342086.58153000061</v>
      </c>
      <c r="E52" s="6">
        <f>$X$1*('Single Exponen'!E52-('Konstanta c triple'!$X$2*'Double Exponen'!E52)+'triple exponen'!E52)</f>
        <v>922756.88154600107</v>
      </c>
      <c r="F52" s="6">
        <f>$X$1*('Single Exponen'!F52-('Konstanta c triple'!$X$2*'Double Exponen'!F52)+'triple exponen'!F52)</f>
        <v>-115369.1697293997</v>
      </c>
      <c r="G52" s="6">
        <f>$X$1*('Single Exponen'!G52-('Konstanta c triple'!$X$2*'Double Exponen'!G52)+'triple exponen'!G52)</f>
        <v>1966769.9876376907</v>
      </c>
      <c r="H52" s="6">
        <f>$X$1*('Single Exponen'!H52-('Konstanta c triple'!$X$2*'Double Exponen'!H52)+'triple exponen'!H52)</f>
        <v>3695458.9610839603</v>
      </c>
      <c r="I52" s="6">
        <f>$X$1*('Single Exponen'!I52-('Konstanta c triple'!$X$2*'Double Exponen'!I52)+'triple exponen'!I52)</f>
        <v>1590388.6657136295</v>
      </c>
      <c r="J52" s="6">
        <f>$X$1*('Single Exponen'!J52-('Konstanta c triple'!$X$2*'Double Exponen'!J52)+'triple exponen'!J52)</f>
        <v>-1516428.9416322217</v>
      </c>
      <c r="K52" s="6">
        <f>$X$1*('Single Exponen'!K52-('Konstanta c triple'!$X$2*'Double Exponen'!K52)+'triple exponen'!K52)</f>
        <v>-816008.50043127767</v>
      </c>
      <c r="L52" s="6">
        <f>$X$1*('Single Exponen'!L52-('Konstanta c triple'!$X$2*'Double Exponen'!L52)+'triple exponen'!L52)</f>
        <v>-508493.41047286056</v>
      </c>
      <c r="M52" s="6">
        <f>$X$1*('Single Exponen'!M52-('Konstanta c triple'!$X$2*'Double Exponen'!M52)+'triple exponen'!M52)</f>
        <v>18347.661587105908</v>
      </c>
    </row>
    <row r="53" spans="1:13" x14ac:dyDescent="0.3">
      <c r="A53" s="6" t="str">
        <f>'Konstanta b triple'!A53</f>
        <v>Oil B 20 LT</v>
      </c>
      <c r="B53" s="6">
        <f>$X$1*('Single Exponen'!B53-('Konstanta c triple'!$X$2*'Double Exponen'!B53)+'triple exponen'!B53)</f>
        <v>0</v>
      </c>
      <c r="C53" s="6">
        <f>$X$1*('Single Exponen'!C53-('Konstanta c triple'!$X$2*'Double Exponen'!C53)+'triple exponen'!C53)</f>
        <v>256043.13435000015</v>
      </c>
      <c r="D53" s="6">
        <f>$X$1*('Single Exponen'!D53-('Konstanta c triple'!$X$2*'Double Exponen'!D53)+'triple exponen'!D53)</f>
        <v>213222.70588500009</v>
      </c>
      <c r="E53" s="6">
        <f>$X$1*('Single Exponen'!E53-('Konstanta c triple'!$X$2*'Double Exponen'!E53)+'triple exponen'!E53)</f>
        <v>96387.055407000167</v>
      </c>
      <c r="F53" s="6">
        <f>$X$1*('Single Exponen'!F53-('Konstanta c triple'!$X$2*'Double Exponen'!F53)+'triple exponen'!F53)</f>
        <v>2617657.5885687014</v>
      </c>
      <c r="G53" s="6">
        <f>$X$1*('Single Exponen'!G53-('Konstanta c triple'!$X$2*'Double Exponen'!G53)+'triple exponen'!G53)</f>
        <v>91703.249831205481</v>
      </c>
      <c r="H53" s="6">
        <f>$X$1*('Single Exponen'!H53-('Konstanta c triple'!$X$2*'Double Exponen'!H53)+'triple exponen'!H53)</f>
        <v>-32040.712245064366</v>
      </c>
      <c r="I53" s="6">
        <f>$X$1*('Single Exponen'!I53-('Konstanta c triple'!$X$2*'Double Exponen'!I53)+'triple exponen'!I53)</f>
        <v>515626.72775961843</v>
      </c>
      <c r="J53" s="6">
        <f>$X$1*('Single Exponen'!J53-('Konstanta c triple'!$X$2*'Double Exponen'!J53)+'triple exponen'!J53)</f>
        <v>521013.32442062348</v>
      </c>
      <c r="K53" s="6">
        <f>$X$1*('Single Exponen'!K53-('Konstanta c triple'!$X$2*'Double Exponen'!K53)+'triple exponen'!K53)</f>
        <v>1637547.1853781531</v>
      </c>
      <c r="L53" s="6">
        <f>$X$1*('Single Exponen'!L53-('Konstanta c triple'!$X$2*'Double Exponen'!L53)+'triple exponen'!L53)</f>
        <v>-267797.99217411422</v>
      </c>
      <c r="M53" s="6">
        <f>$X$1*('Single Exponen'!M53-('Konstanta c triple'!$X$2*'Double Exponen'!M53)+'triple exponen'!M53)</f>
        <v>-292663.90355358907</v>
      </c>
    </row>
    <row r="54" spans="1:13" x14ac:dyDescent="0.3">
      <c r="A54" s="6" t="str">
        <f>'Konstanta b triple'!A54</f>
        <v>Oil B 200 LT</v>
      </c>
      <c r="B54" s="6">
        <f>$X$1*('Single Exponen'!B54-('Konstanta c triple'!$X$2*'Double Exponen'!B54)+'triple exponen'!B54)</f>
        <v>0</v>
      </c>
      <c r="C54" s="6">
        <f>$X$1*('Single Exponen'!C54-('Konstanta c triple'!$X$2*'Double Exponen'!C54)+'triple exponen'!C54)</f>
        <v>1586006.9616600007</v>
      </c>
      <c r="D54" s="6">
        <f>$X$1*('Single Exponen'!D54-('Konstanta c triple'!$X$2*'Double Exponen'!D54)+'triple exponen'!D54)</f>
        <v>1196176.8608460007</v>
      </c>
      <c r="E54" s="6">
        <f>$X$1*('Single Exponen'!E54-('Konstanta c triple'!$X$2*'Double Exponen'!E54)+'triple exponen'!E54)</f>
        <v>1012097.5336152009</v>
      </c>
      <c r="F54" s="6">
        <f>$X$1*('Single Exponen'!F54-('Konstanta c triple'!$X$2*'Double Exponen'!F54)+'triple exponen'!F54)</f>
        <v>1423283.1460909203</v>
      </c>
      <c r="G54" s="6">
        <f>$X$1*('Single Exponen'!G54-('Konstanta c triple'!$X$2*'Double Exponen'!G54)+'triple exponen'!G54)</f>
        <v>722820.19725073851</v>
      </c>
      <c r="H54" s="6">
        <f>$X$1*('Single Exponen'!H54-('Konstanta c triple'!$X$2*'Double Exponen'!H54)+'triple exponen'!H54)</f>
        <v>2923927.0398810743</v>
      </c>
      <c r="I54" s="6">
        <f>$X$1*('Single Exponen'!I54-('Konstanta c triple'!$X$2*'Double Exponen'!I54)+'triple exponen'!I54)</f>
        <v>1468840.6053763598</v>
      </c>
      <c r="J54" s="6">
        <f>$X$1*('Single Exponen'!J54-('Konstanta c triple'!$X$2*'Double Exponen'!J54)+'triple exponen'!J54)</f>
        <v>983121.46863184788</v>
      </c>
      <c r="K54" s="6">
        <f>$X$1*('Single Exponen'!K54-('Konstanta c triple'!$X$2*'Double Exponen'!K54)+'triple exponen'!K54)</f>
        <v>2314728.5121524548</v>
      </c>
      <c r="L54" s="6">
        <f>$X$1*('Single Exponen'!L54-('Konstanta c triple'!$X$2*'Double Exponen'!L54)+'triple exponen'!L54)</f>
        <v>2164407.253936036</v>
      </c>
      <c r="M54" s="6">
        <f>$X$1*('Single Exponen'!M54-('Konstanta c triple'!$X$2*'Double Exponen'!M54)+'triple exponen'!M54)</f>
        <v>1485441.8991583593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BA111-DF0A-46BF-8D15-A386A0CB2CC6}">
  <dimension ref="A1:P54"/>
  <sheetViews>
    <sheetView workbookViewId="0">
      <selection activeCell="F12" sqref="F12"/>
    </sheetView>
  </sheetViews>
  <sheetFormatPr defaultColWidth="8.88671875" defaultRowHeight="14.4" x14ac:dyDescent="0.3"/>
  <cols>
    <col min="1" max="1" width="14.33203125" style="6" bestFit="1" customWidth="1"/>
    <col min="2" max="2" width="5.44140625" style="6" bestFit="1" customWidth="1"/>
    <col min="3" max="3" width="10.44140625" style="6" bestFit="1" customWidth="1"/>
    <col min="4" max="5" width="12.109375" style="6" bestFit="1" customWidth="1"/>
    <col min="6" max="6" width="12.44140625" style="6" bestFit="1" customWidth="1"/>
    <col min="7" max="7" width="13.33203125" style="6" bestFit="1" customWidth="1"/>
    <col min="8" max="13" width="12.109375" style="6" bestFit="1" customWidth="1"/>
    <col min="14" max="15" width="8.88671875" style="6"/>
    <col min="16" max="16" width="5.44140625" style="6" bestFit="1" customWidth="1"/>
    <col min="17" max="16384" width="8.88671875" style="6"/>
  </cols>
  <sheetData>
    <row r="1" spans="1:16" x14ac:dyDescent="0.3">
      <c r="A1" s="7">
        <f>'Konstanta c triple'!A1</f>
        <v>0.1</v>
      </c>
      <c r="B1" s="7"/>
      <c r="C1" s="7" t="str">
        <f>'Konstanta c triple'!B1</f>
        <v>T1</v>
      </c>
      <c r="D1" s="7" t="str">
        <f>'Konstanta c triple'!C1</f>
        <v>T2</v>
      </c>
      <c r="E1" s="7" t="str">
        <f>'Konstanta c triple'!D1</f>
        <v>T3</v>
      </c>
      <c r="F1" s="7" t="str">
        <f>'Konstanta c triple'!E1</f>
        <v>T4</v>
      </c>
      <c r="G1" s="7" t="str">
        <f>'Konstanta c triple'!F1</f>
        <v>T5</v>
      </c>
      <c r="H1" s="7" t="str">
        <f>'Konstanta c triple'!G1</f>
        <v>T6</v>
      </c>
      <c r="I1" s="7" t="str">
        <f>'Konstanta c triple'!H1</f>
        <v>T7</v>
      </c>
      <c r="J1" s="7" t="str">
        <f>'Konstanta c triple'!I1</f>
        <v>T8</v>
      </c>
      <c r="K1" s="7" t="str">
        <f>'Konstanta c triple'!J1</f>
        <v>T9</v>
      </c>
      <c r="L1" s="7" t="str">
        <f>'Konstanta c triple'!K1</f>
        <v>T10</v>
      </c>
      <c r="M1" s="7" t="str">
        <f>'Konstanta c triple'!L1</f>
        <v>T11</v>
      </c>
      <c r="P1" s="6">
        <v>1</v>
      </c>
    </row>
    <row r="2" spans="1:16" x14ac:dyDescent="0.3">
      <c r="A2" s="7" t="str">
        <f>'Konstanta c triple'!A2</f>
        <v>Oil A 20 LT</v>
      </c>
      <c r="B2" s="7">
        <v>0</v>
      </c>
      <c r="C2" s="7">
        <f>'Konstanta a triple'!B2+('Konstanta b triple'!B2*'Peramalan triple'!$P$1)+'Peramalan triple'!$P$2*('Konstanta c triple'!B2*'Peramalan triple'!$P$3)</f>
        <v>12588.09</v>
      </c>
      <c r="D2" s="7">
        <f>'Konstanta a triple'!C2+('Konstanta b triple'!C2*'Peramalan triple'!$P$1)+'Peramalan triple'!$P$2*('Konstanta c triple'!C2*'Peramalan triple'!$P$3)</f>
        <v>10248.588</v>
      </c>
      <c r="E2" s="7">
        <f>'Konstanta a triple'!D2+('Konstanta b triple'!D2*'Peramalan triple'!$P$1)+'Peramalan triple'!$P$2*('Konstanta c triple'!D2*'Peramalan triple'!$P$3)</f>
        <v>13247.813400000003</v>
      </c>
      <c r="F2" s="7">
        <f>'Konstanta a triple'!E2+('Konstanta b triple'!E2*'Peramalan triple'!$P$1)+'Peramalan triple'!$P$2*('Konstanta c triple'!E2*'Peramalan triple'!$P$3)</f>
        <v>12685.329400000006</v>
      </c>
      <c r="G2" s="7">
        <f>'Konstanta a triple'!F2+('Konstanta b triple'!F2*'Peramalan triple'!$P$1)+'Peramalan triple'!$P$2*('Konstanta c triple'!F2*'Peramalan triple'!$P$3)</f>
        <v>11628.571210000007</v>
      </c>
      <c r="H2" s="7">
        <f>'Konstanta a triple'!G2+('Konstanta b triple'!G2*'Peramalan triple'!$P$1)+'Peramalan triple'!$P$2*('Konstanta c triple'!G2*'Peramalan triple'!$P$3)</f>
        <v>10508.892463599997</v>
      </c>
      <c r="I2" s="7">
        <f>'Konstanta a triple'!H2+('Konstanta b triple'!H2*'Peramalan triple'!$P$1)+'Peramalan triple'!$P$2*('Konstanta c triple'!H2*'Peramalan triple'!$P$3)</f>
        <v>12643.075404020006</v>
      </c>
      <c r="J2" s="7">
        <f>'Konstanta a triple'!I2+('Konstanta b triple'!I2*'Peramalan triple'!$P$1)+'Peramalan triple'!$P$2*('Konstanta c triple'!I2*'Peramalan triple'!$P$3)</f>
        <v>12197.281876396013</v>
      </c>
      <c r="K2" s="7">
        <f>'Konstanta a triple'!J2+('Konstanta b triple'!J2*'Peramalan triple'!$P$1)+'Peramalan triple'!$P$2*('Konstanta c triple'!J2*'Peramalan triple'!$P$3)</f>
        <v>11792.291240464998</v>
      </c>
      <c r="L2" s="7">
        <f>'Konstanta a triple'!K2+('Konstanta b triple'!K2*'Peramalan triple'!$P$1)+'Peramalan triple'!$P$2*('Konstanta c triple'!K2*'Peramalan triple'!$P$3)</f>
        <v>10724.560139143805</v>
      </c>
      <c r="M2" s="7">
        <f>'Konstanta a triple'!L2+('Konstanta b triple'!L2*'Peramalan triple'!$P$1)+'Peramalan triple'!$P$2*('Konstanta c triple'!L2*'Peramalan triple'!$P$3)</f>
        <v>12797.302399250995</v>
      </c>
      <c r="P2" s="6">
        <f>1/2</f>
        <v>0.5</v>
      </c>
    </row>
    <row r="3" spans="1:16" x14ac:dyDescent="0.3">
      <c r="A3" s="7" t="str">
        <f>'Konstanta c triple'!A3</f>
        <v>Oil A 200 LT</v>
      </c>
      <c r="B3" s="7">
        <v>0</v>
      </c>
      <c r="C3" s="7">
        <f>'Konstanta a triple'!B3+('Konstanta b triple'!B3*'Peramalan triple'!$P$1)+'Peramalan triple'!$P$2*('Konstanta c triple'!B3*'Peramalan triple'!$P$3)</f>
        <v>459915.78</v>
      </c>
      <c r="D3" s="7">
        <f>'Konstanta a triple'!C3+('Konstanta b triple'!C3*'Peramalan triple'!$P$1)+'Peramalan triple'!$P$2*('Konstanta c triple'!C3*'Peramalan triple'!$P$3)</f>
        <v>441107.27399999998</v>
      </c>
      <c r="E3" s="7">
        <f>'Konstanta a triple'!D3+('Konstanta b triple'!D3*'Peramalan triple'!$P$1)+'Peramalan triple'!$P$2*('Konstanta c triple'!D3*'Peramalan triple'!$P$3)</f>
        <v>423665.93519999983</v>
      </c>
      <c r="F3" s="7">
        <f>'Konstanta a triple'!E3+('Konstanta b triple'!E3*'Peramalan triple'!$P$1)+'Peramalan triple'!$P$2*('Konstanta c triple'!E3*'Peramalan triple'!$P$3)</f>
        <v>444837.79019999999</v>
      </c>
      <c r="G3" s="7">
        <f>'Konstanta a triple'!F3+('Konstanta b triple'!F3*'Peramalan triple'!$P$1)+'Peramalan triple'!$P$2*('Konstanta c triple'!F3*'Peramalan triple'!$P$3)</f>
        <v>370563.31433000002</v>
      </c>
      <c r="H3" s="7">
        <f>'Konstanta a triple'!G3+('Konstanta b triple'!G3*'Peramalan triple'!$P$1)+'Peramalan triple'!$P$2*('Konstanta c triple'!G3*'Peramalan triple'!$P$3)</f>
        <v>364383.77576580015</v>
      </c>
      <c r="I3" s="7">
        <f>'Konstanta a triple'!H3+('Konstanta b triple'!H3*'Peramalan triple'!$P$1)+'Peramalan triple'!$P$2*('Konstanta c triple'!H3*'Peramalan triple'!$P$3)</f>
        <v>385575.33398155984</v>
      </c>
      <c r="J3" s="7">
        <f>'Konstanta a triple'!I3+('Konstanta b triple'!I3*'Peramalan triple'!$P$1)+'Peramalan triple'!$P$2*('Konstanta c triple'!I3*'Peramalan triple'!$P$3)</f>
        <v>417628.55098588805</v>
      </c>
      <c r="K3" s="7">
        <f>'Konstanta a triple'!J3+('Konstanta b triple'!J3*'Peramalan triple'!$P$1)+'Peramalan triple'!$P$2*('Konstanta c triple'!J3*'Peramalan triple'!$P$3)</f>
        <v>444077.89069997473</v>
      </c>
      <c r="L3" s="7">
        <f>'Konstanta a triple'!K3+('Konstanta b triple'!K3*'Peramalan triple'!$P$1)+'Peramalan triple'!$P$2*('Konstanta c triple'!K3*'Peramalan triple'!$P$3)</f>
        <v>469181.66152678191</v>
      </c>
      <c r="M3" s="7">
        <f>'Konstanta a triple'!L3+('Konstanta b triple'!L3*'Peramalan triple'!$P$1)+'Peramalan triple'!$P$2*('Konstanta c triple'!L3*'Peramalan triple'!$P$3)</f>
        <v>475752.76539008436</v>
      </c>
      <c r="P3" s="6">
        <f>1^2</f>
        <v>1</v>
      </c>
    </row>
    <row r="4" spans="1:16" x14ac:dyDescent="0.3">
      <c r="A4" s="7" t="str">
        <f>'Konstanta c triple'!A4</f>
        <v>Oil A 1000 LT</v>
      </c>
      <c r="B4" s="7">
        <v>0</v>
      </c>
      <c r="C4" s="7">
        <f>'Konstanta a triple'!B4+('Konstanta b triple'!B4*'Peramalan triple'!$P$1)+'Peramalan triple'!$P$2*('Konstanta c triple'!B4*'Peramalan triple'!$P$3)</f>
        <v>23458.3</v>
      </c>
      <c r="D4" s="7">
        <f>'Konstanta a triple'!C4+('Konstanta b triple'!C4*'Peramalan triple'!$P$1)+'Peramalan triple'!$P$2*('Konstanta c triple'!C4*'Peramalan triple'!$P$3)</f>
        <v>29085.789999999997</v>
      </c>
      <c r="E4" s="7">
        <f>'Konstanta a triple'!D4+('Konstanta b triple'!D4*'Peramalan triple'!$P$1)+'Peramalan triple'!$P$2*('Konstanta c triple'!D4*'Peramalan triple'!$P$3)</f>
        <v>29548.371999999981</v>
      </c>
      <c r="F4" s="7">
        <f>'Konstanta a triple'!E4+('Konstanta b triple'!E4*'Peramalan triple'!$P$1)+'Peramalan triple'!$P$2*('Konstanta c triple'!E4*'Peramalan triple'!$P$3)</f>
        <v>33068.420999999988</v>
      </c>
      <c r="G4" s="7">
        <f>'Konstanta a triple'!F4+('Konstanta b triple'!F4*'Peramalan triple'!$P$1)+'Peramalan triple'!$P$2*('Konstanta c triple'!F4*'Peramalan triple'!$P$3)</f>
        <v>31191.14554999999</v>
      </c>
      <c r="H4" s="7">
        <f>'Konstanta a triple'!G4+('Konstanta b triple'!G4*'Peramalan triple'!$P$1)+'Peramalan triple'!$P$2*('Konstanta c triple'!G4*'Peramalan triple'!$P$3)</f>
        <v>39635.691042999984</v>
      </c>
      <c r="I4" s="7">
        <f>'Konstanta a triple'!H4+('Konstanta b triple'!H4*'Peramalan triple'!$P$1)+'Peramalan triple'!$P$2*('Konstanta c triple'!H4*'Peramalan triple'!$P$3)</f>
        <v>54302.631638599989</v>
      </c>
      <c r="J4" s="7">
        <f>'Konstanta a triple'!I4+('Konstanta b triple'!I4*'Peramalan triple'!$P$1)+'Peramalan triple'!$P$2*('Konstanta c triple'!I4*'Peramalan triple'!$P$3)</f>
        <v>57032.542195680006</v>
      </c>
      <c r="K4" s="7">
        <f>'Konstanta a triple'!J4+('Konstanta b triple'!J4*'Peramalan triple'!$P$1)+'Peramalan triple'!$P$2*('Konstanta c triple'!J4*'Peramalan triple'!$P$3)</f>
        <v>46188.559516885012</v>
      </c>
      <c r="L4" s="7">
        <f>'Konstanta a triple'!K4+('Konstanta b triple'!K4*'Peramalan triple'!$P$1)+'Peramalan triple'!$P$2*('Konstanta c triple'!K4*'Peramalan triple'!$P$3)</f>
        <v>41198.803824626513</v>
      </c>
      <c r="M4" s="7">
        <f>'Konstanta a triple'!L4+('Konstanta b triple'!L4*'Peramalan triple'!$P$1)+'Peramalan triple'!$P$2*('Konstanta c triple'!L4*'Peramalan triple'!$P$3)</f>
        <v>37883.603461111714</v>
      </c>
    </row>
    <row r="5" spans="1:16" x14ac:dyDescent="0.3">
      <c r="A5" s="7" t="str">
        <f>'Konstanta c triple'!A5</f>
        <v>Oil B 20 LT</v>
      </c>
      <c r="B5" s="7">
        <v>0</v>
      </c>
      <c r="C5" s="7">
        <f>'Konstanta a triple'!B5+('Konstanta b triple'!B5*'Peramalan triple'!$P$1)+'Peramalan triple'!$P$2*('Konstanta c triple'!B5*'Peramalan triple'!$P$3)</f>
        <v>4698.6499999999996</v>
      </c>
      <c r="D5" s="7">
        <f>'Konstanta a triple'!C5+('Konstanta b triple'!C5*'Peramalan triple'!$P$1)+'Peramalan triple'!$P$2*('Konstanta c triple'!C5*'Peramalan triple'!$P$3)</f>
        <v>5882.5550000000012</v>
      </c>
      <c r="E5" s="7">
        <f>'Konstanta a triple'!D5+('Konstanta b triple'!D5*'Peramalan triple'!$P$1)+'Peramalan triple'!$P$2*('Konstanta c triple'!D5*'Peramalan triple'!$P$3)</f>
        <v>6633.0140000000029</v>
      </c>
      <c r="F5" s="7">
        <f>'Konstanta a triple'!E5+('Konstanta b triple'!E5*'Peramalan triple'!$P$1)+'Peramalan triple'!$P$2*('Konstanta c triple'!E5*'Peramalan triple'!$P$3)</f>
        <v>6791.7214999999997</v>
      </c>
      <c r="G5" s="7">
        <f>'Konstanta a triple'!F5+('Konstanta b triple'!F5*'Peramalan triple'!$P$1)+'Peramalan triple'!$P$2*('Konstanta c triple'!F5*'Peramalan triple'!$P$3)</f>
        <v>18652.398375000001</v>
      </c>
      <c r="H5" s="7">
        <f>'Konstanta a triple'!G5+('Konstanta b triple'!G5*'Peramalan triple'!$P$1)+'Peramalan triple'!$P$2*('Konstanta c triple'!G5*'Peramalan triple'!$P$3)</f>
        <v>16501.638333500003</v>
      </c>
      <c r="I5" s="7">
        <f>'Konstanta a triple'!H5+('Konstanta b triple'!H5*'Peramalan triple'!$P$1)+'Peramalan triple'!$P$2*('Konstanta c triple'!H5*'Peramalan triple'!$P$3)</f>
        <v>15195.101622700002</v>
      </c>
      <c r="J5" s="7">
        <f>'Konstanta a triple'!I5+('Konstanta b triple'!I5*'Peramalan triple'!$P$1)+'Peramalan triple'!$P$2*('Konstanta c triple'!I5*'Peramalan triple'!$P$3)</f>
        <v>16647.355366260002</v>
      </c>
      <c r="K5" s="7">
        <f>'Konstanta a triple'!J5+('Konstanta b triple'!J5*'Peramalan triple'!$P$1)+'Peramalan triple'!$P$2*('Konstanta c triple'!J5*'Peramalan triple'!$P$3)</f>
        <v>17763.586300862506</v>
      </c>
      <c r="L5" s="7">
        <f>'Konstanta a triple'!K5+('Konstanta b triple'!K5*'Peramalan triple'!$P$1)+'Peramalan triple'!$P$2*('Konstanta c triple'!K5*'Peramalan triple'!$P$3)</f>
        <v>23967.632555265249</v>
      </c>
      <c r="M5" s="7">
        <f>'Konstanta a triple'!L5+('Konstanta b triple'!L5*'Peramalan triple'!$P$1)+'Peramalan triple'!$P$2*('Konstanta c triple'!L5*'Peramalan triple'!$P$3)</f>
        <v>20273.31325012384</v>
      </c>
    </row>
    <row r="6" spans="1:16" x14ac:dyDescent="0.3">
      <c r="A6" s="7" t="str">
        <f>'Konstanta c triple'!A6</f>
        <v>Oil B 200 LT</v>
      </c>
      <c r="B6" s="7">
        <v>0</v>
      </c>
      <c r="C6" s="7">
        <f>'Konstanta a triple'!B6+('Konstanta b triple'!B6*'Peramalan triple'!$P$1)+'Peramalan triple'!$P$2*('Konstanta c triple'!B6*'Peramalan triple'!$P$3)</f>
        <v>1033.08</v>
      </c>
      <c r="D6" s="7">
        <f>'Konstanta a triple'!C6+('Konstanta b triple'!C6*'Peramalan triple'!$P$1)+'Peramalan triple'!$P$2*('Konstanta c triple'!C6*'Peramalan triple'!$P$3)</f>
        <v>8366.5380000000005</v>
      </c>
      <c r="E6" s="7">
        <f>'Konstanta a triple'!D6+('Konstanta b triple'!D6*'Peramalan triple'!$P$1)+'Peramalan triple'!$P$2*('Konstanta c triple'!D6*'Peramalan triple'!$P$3)</f>
        <v>12439.028400000005</v>
      </c>
      <c r="F6" s="7">
        <f>'Konstanta a triple'!E6+('Konstanta b triple'!E6*'Peramalan triple'!$P$1)+'Peramalan triple'!$P$2*('Konstanta c triple'!E6*'Peramalan triple'!$P$3)</f>
        <v>15455.794999999996</v>
      </c>
      <c r="G6" s="7">
        <f>'Konstanta a triple'!F6+('Konstanta b triple'!F6*'Peramalan triple'!$P$1)+'Peramalan triple'!$P$2*('Konstanta c triple'!F6*'Peramalan triple'!$P$3)</f>
        <v>20194.323110000001</v>
      </c>
      <c r="H6" s="7">
        <f>'Konstanta a triple'!G6+('Konstanta b triple'!G6*'Peramalan triple'!$P$1)+'Peramalan triple'!$P$2*('Konstanta c triple'!G6*'Peramalan triple'!$P$3)</f>
        <v>21080.166150599998</v>
      </c>
      <c r="I6" s="7">
        <f>'Konstanta a triple'!H6+('Konstanta b triple'!H6*'Peramalan triple'!$P$1)+'Peramalan triple'!$P$2*('Konstanta c triple'!H6*'Peramalan triple'!$P$3)</f>
        <v>32438.848304320007</v>
      </c>
      <c r="J6" s="7">
        <f>'Konstanta a triple'!I6+('Konstanta b triple'!I6*'Peramalan triple'!$P$1)+'Peramalan triple'!$P$2*('Konstanta c triple'!I6*'Peramalan triple'!$P$3)</f>
        <v>34993.436012896003</v>
      </c>
      <c r="K6" s="7">
        <f>'Konstanta a triple'!J6+('Konstanta b triple'!J6*'Peramalan triple'!$P$1)+'Peramalan triple'!$P$2*('Konstanta c triple'!J6*'Peramalan triple'!$P$3)</f>
        <v>35815.481819109009</v>
      </c>
      <c r="L6" s="7">
        <f>'Konstanta a triple'!K6+('Konstanta b triple'!K6*'Peramalan triple'!$P$1)+'Peramalan triple'!$P$2*('Konstanta c triple'!K6*'Peramalan triple'!$P$3)</f>
        <v>43045.907274106306</v>
      </c>
      <c r="M6" s="7">
        <f>'Konstanta a triple'!L6+('Konstanta b triple'!L6*'Peramalan triple'!$P$1)+'Peramalan triple'!$P$2*('Konstanta c triple'!L6*'Peramalan triple'!$P$3)</f>
        <v>48362.578273053332</v>
      </c>
    </row>
    <row r="7" spans="1:16" x14ac:dyDescent="0.3">
      <c r="A7" s="6">
        <f>'Konstanta c triple'!A7</f>
        <v>0.2</v>
      </c>
      <c r="C7" s="6" t="str">
        <f>'Konstanta c triple'!B7</f>
        <v>T1</v>
      </c>
      <c r="D7" s="6" t="str">
        <f>'Konstanta c triple'!C7</f>
        <v>T2</v>
      </c>
      <c r="E7" s="6" t="str">
        <f>'Konstanta c triple'!D7</f>
        <v>T3</v>
      </c>
      <c r="F7" s="6" t="str">
        <f>'Konstanta c triple'!E7</f>
        <v>T4</v>
      </c>
      <c r="G7" s="6" t="str">
        <f>'Konstanta c triple'!F7</f>
        <v>T5</v>
      </c>
      <c r="H7" s="6" t="str">
        <f>'Konstanta c triple'!G7</f>
        <v>T6</v>
      </c>
      <c r="I7" s="6" t="str">
        <f>'Konstanta c triple'!H7</f>
        <v>T7</v>
      </c>
      <c r="J7" s="6" t="str">
        <f>'Konstanta c triple'!I7</f>
        <v>T8</v>
      </c>
      <c r="K7" s="6" t="str">
        <f>'Konstanta c triple'!J7</f>
        <v>T9</v>
      </c>
      <c r="L7" s="6" t="str">
        <f>'Konstanta c triple'!K7</f>
        <v>T10</v>
      </c>
      <c r="M7" s="6" t="str">
        <f>'Konstanta c triple'!L7</f>
        <v>T11</v>
      </c>
    </row>
    <row r="8" spans="1:16" x14ac:dyDescent="0.3">
      <c r="A8" s="6" t="str">
        <f>'Konstanta c triple'!A8</f>
        <v>Oil A 20 LT</v>
      </c>
      <c r="B8" s="6">
        <v>0</v>
      </c>
      <c r="C8" s="6">
        <f>'Konstanta a triple'!B8+('Konstanta b triple'!B8*'Peramalan triple'!$P$1)+'Peramalan triple'!$P$2*('Konstanta c triple'!B8*'Peramalan triple'!$P$3)</f>
        <v>12588.089999999998</v>
      </c>
      <c r="D8" s="6">
        <f>'Konstanta a triple'!C8+('Konstanta b triple'!C8*'Peramalan triple'!$P$1)+'Peramalan triple'!$P$2*('Konstanta c triple'!C8*'Peramalan triple'!$P$3)</f>
        <v>7909.0859999999984</v>
      </c>
      <c r="E8" s="6">
        <f>'Konstanta a triple'!D8+('Konstanta b triple'!D8*'Peramalan triple'!$P$1)+'Peramalan triple'!$P$2*('Konstanta c triple'!D8*'Peramalan triple'!$P$3)</f>
        <v>14843.337600000001</v>
      </c>
      <c r="F8" s="6">
        <f>'Konstanta a triple'!E8+('Konstanta b triple'!E8*'Peramalan triple'!$P$1)+'Peramalan triple'!$P$2*('Konstanta c triple'!E8*'Peramalan triple'!$P$3)</f>
        <v>13173.74</v>
      </c>
      <c r="G8" s="6">
        <f>'Konstanta a triple'!F8+('Konstanta b triple'!F8*'Peramalan triple'!$P$1)+'Peramalan triple'!$P$2*('Konstanta c triple'!F8*'Peramalan triple'!$P$3)</f>
        <v>10896.178160000005</v>
      </c>
      <c r="H8" s="6">
        <f>'Konstanta a triple'!G8+('Konstanta b triple'!G8*'Peramalan triple'!$P$1)+'Peramalan triple'!$P$2*('Konstanta c triple'!G8*'Peramalan triple'!$P$3)</f>
        <v>8962.212195199998</v>
      </c>
      <c r="I8" s="6">
        <f>'Konstanta a triple'!H8+('Konstanta b triple'!H8*'Peramalan triple'!$P$1)+'Peramalan triple'!$P$2*('Konstanta c triple'!H8*'Peramalan triple'!$P$3)</f>
        <v>13891.335361279997</v>
      </c>
      <c r="J8" s="6">
        <f>'Konstanta a triple'!I8+('Konstanta b triple'!I8*'Peramalan triple'!$P$1)+'Peramalan triple'!$P$2*('Konstanta c triple'!I8*'Peramalan triple'!$P$3)</f>
        <v>12605.232350207996</v>
      </c>
      <c r="K8" s="6">
        <f>'Konstanta a triple'!J8+('Konstanta b triple'!J8*'Peramalan triple'!$P$1)+'Peramalan triple'!$P$2*('Konstanta c triple'!J8*'Peramalan triple'!$P$3)</f>
        <v>11688.837190783999</v>
      </c>
      <c r="L8" s="6">
        <f>'Konstanta a triple'!K8+('Konstanta b triple'!K8*'Peramalan triple'!$P$1)+'Peramalan triple'!$P$2*('Konstanta c triple'!K8*'Peramalan triple'!$P$3)</f>
        <v>9636.4206904576004</v>
      </c>
      <c r="M8" s="6">
        <f>'Konstanta a triple'!L8+('Konstanta b triple'!L8*'Peramalan triple'!$P$1)+'Peramalan triple'!$P$2*('Konstanta c triple'!L8*'Peramalan triple'!$P$3)</f>
        <v>14263.944414099449</v>
      </c>
    </row>
    <row r="9" spans="1:16" x14ac:dyDescent="0.3">
      <c r="A9" s="6" t="str">
        <f>'Konstanta c triple'!A9</f>
        <v>Oil A 200 LT</v>
      </c>
      <c r="B9" s="6">
        <v>0</v>
      </c>
      <c r="C9" s="6">
        <f>'Konstanta a triple'!B9+('Konstanta b triple'!B9*'Peramalan triple'!$P$1)+'Peramalan triple'!$P$2*('Konstanta c triple'!B9*'Peramalan triple'!$P$3)</f>
        <v>459915.77999999997</v>
      </c>
      <c r="D9" s="6">
        <f>'Konstanta a triple'!C9+('Konstanta b triple'!C9*'Peramalan triple'!$P$1)+'Peramalan triple'!$P$2*('Konstanta c triple'!C9*'Peramalan triple'!$P$3)</f>
        <v>422298.76800000004</v>
      </c>
      <c r="E9" s="6">
        <f>'Konstanta a triple'!D9+('Konstanta b triple'!D9*'Peramalan triple'!$P$1)+'Peramalan triple'!$P$2*('Konstanta c triple'!D9*'Peramalan triple'!$P$3)</f>
        <v>394939.49280000012</v>
      </c>
      <c r="F9" s="6">
        <f>'Konstanta a triple'!E9+('Konstanta b triple'!E9*'Peramalan triple'!$P$1)+'Peramalan triple'!$P$2*('Konstanta c triple'!E9*'Peramalan triple'!$P$3)</f>
        <v>449526.12</v>
      </c>
      <c r="G9" s="6">
        <f>'Konstanta a triple'!F9+('Konstanta b triple'!F9*'Peramalan triple'!$P$1)+'Peramalan triple'!$P$2*('Konstanta c triple'!F9*'Peramalan triple'!$P$3)</f>
        <v>301015.77328000031</v>
      </c>
      <c r="H9" s="6">
        <f>'Konstanta a triple'!G9+('Konstanta b triple'!G9*'Peramalan triple'!$P$1)+'Peramalan triple'!$P$2*('Konstanta c triple'!G9*'Peramalan triple'!$P$3)</f>
        <v>318235.06018560019</v>
      </c>
      <c r="I9" s="6">
        <f>'Konstanta a triple'!H9+('Konstanta b triple'!H9*'Peramalan triple'!$P$1)+'Peramalan triple'!$P$2*('Konstanta c triple'!H9*'Peramalan triple'!$P$3)</f>
        <v>383651.73222783982</v>
      </c>
      <c r="J9" s="6">
        <f>'Konstanta a triple'!I9+('Konstanta b triple'!I9*'Peramalan triple'!$P$1)+'Peramalan triple'!$P$2*('Konstanta c triple'!I9*'Peramalan triple'!$P$3)</f>
        <v>455029.09770982381</v>
      </c>
      <c r="K9" s="6">
        <f>'Konstanta a triple'!J9+('Konstanta b triple'!J9*'Peramalan triple'!$P$1)+'Peramalan triple'!$P$2*('Konstanta c triple'!J9*'Peramalan triple'!$P$3)</f>
        <v>499664.8464811517</v>
      </c>
      <c r="L9" s="6">
        <f>'Konstanta a triple'!K9+('Konstanta b triple'!K9*'Peramalan triple'!$P$1)+'Peramalan triple'!$P$2*('Konstanta c triple'!K9*'Peramalan triple'!$P$3)</f>
        <v>532967.81053255661</v>
      </c>
      <c r="M9" s="6">
        <f>'Konstanta a triple'!L9+('Konstanta b triple'!L9*'Peramalan triple'!$P$1)+'Peramalan triple'!$P$2*('Konstanta c triple'!L9*'Peramalan triple'!$P$3)</f>
        <v>523814.0348617541</v>
      </c>
    </row>
    <row r="10" spans="1:16" x14ac:dyDescent="0.3">
      <c r="A10" s="6" t="str">
        <f>'Konstanta c triple'!A10</f>
        <v>Oil A 1000 LT</v>
      </c>
      <c r="B10" s="6">
        <v>0</v>
      </c>
      <c r="C10" s="6">
        <f>'Konstanta a triple'!B10+('Konstanta b triple'!B10*'Peramalan triple'!$P$1)+'Peramalan triple'!$P$2*('Konstanta c triple'!B10*'Peramalan triple'!$P$3)</f>
        <v>23458.3</v>
      </c>
      <c r="D10" s="6">
        <f>'Konstanta a triple'!C10+('Konstanta b triple'!C10*'Peramalan triple'!$P$1)+'Peramalan triple'!$P$2*('Konstanta c triple'!C10*'Peramalan triple'!$P$3)</f>
        <v>34713.280000000006</v>
      </c>
      <c r="E10" s="6">
        <f>'Konstanta a triple'!D10+('Konstanta b triple'!D10*'Peramalan triple'!$P$1)+'Peramalan triple'!$P$2*('Konstanta c triple'!D10*'Peramalan triple'!$P$3)</f>
        <v>33387.448000000011</v>
      </c>
      <c r="F10" s="6">
        <f>'Konstanta a triple'!E10+('Konstanta b triple'!E10*'Peramalan triple'!$P$1)+'Peramalan triple'!$P$2*('Konstanta c triple'!E10*'Peramalan triple'!$P$3)</f>
        <v>38666.816000000006</v>
      </c>
      <c r="G10" s="6">
        <f>'Konstanta a triple'!F10+('Konstanta b triple'!F10*'Peramalan triple'!$P$1)+'Peramalan triple'!$P$2*('Konstanta c triple'!F10*'Peramalan triple'!$P$3)</f>
        <v>32290.492799999996</v>
      </c>
      <c r="H10" s="6">
        <f>'Konstanta a triple'!G10+('Konstanta b triple'!G10*'Peramalan triple'!$P$1)+'Peramalan triple'!$P$2*('Konstanta c triple'!G10*'Peramalan triple'!$P$3)</f>
        <v>48126.808575999989</v>
      </c>
      <c r="I10" s="6">
        <f>'Konstanta a triple'!H10+('Konstanta b triple'!H10*'Peramalan triple'!$P$1)+'Peramalan triple'!$P$2*('Konstanta c triple'!H10*'Peramalan triple'!$P$3)</f>
        <v>73396.232998399995</v>
      </c>
      <c r="J10" s="6">
        <f>'Konstanta a triple'!I10+('Konstanta b triple'!I10*'Peramalan triple'!$P$1)+'Peramalan triple'!$P$2*('Konstanta c triple'!I10*'Peramalan triple'!$P$3)</f>
        <v>70198.350243839974</v>
      </c>
      <c r="K10" s="6">
        <f>'Konstanta a triple'!J10+('Konstanta b triple'!J10*'Peramalan triple'!$P$1)+'Peramalan triple'!$P$2*('Konstanta c triple'!J10*'Peramalan triple'!$P$3)</f>
        <v>41440.9528192</v>
      </c>
      <c r="L10" s="6">
        <f>'Konstanta a triple'!K10+('Konstanta b triple'!K10*'Peramalan triple'!$P$1)+'Peramalan triple'!$P$2*('Konstanta c triple'!K10*'Peramalan triple'!$P$3)</f>
        <v>30997.627193088003</v>
      </c>
      <c r="M10" s="6">
        <f>'Konstanta a triple'!L10+('Konstanta b triple'!L10*'Peramalan triple'!$P$1)+'Peramalan triple'!$P$2*('Konstanta c triple'!L10*'Peramalan triple'!$P$3)</f>
        <v>26230.467175393274</v>
      </c>
    </row>
    <row r="11" spans="1:16" x14ac:dyDescent="0.3">
      <c r="A11" s="6" t="str">
        <f>'Konstanta c triple'!A11</f>
        <v>Oil B 20 LT</v>
      </c>
      <c r="B11" s="6">
        <v>0</v>
      </c>
      <c r="C11" s="6">
        <f>'Konstanta a triple'!B11+('Konstanta b triple'!B11*'Peramalan triple'!$P$1)+'Peramalan triple'!$P$2*('Konstanta c triple'!B11*'Peramalan triple'!$P$3)</f>
        <v>4698.6499999999996</v>
      </c>
      <c r="D11" s="6">
        <f>'Konstanta a triple'!C11+('Konstanta b triple'!C11*'Peramalan triple'!$P$1)+'Peramalan triple'!$P$2*('Konstanta c triple'!C11*'Peramalan triple'!$P$3)</f>
        <v>7066.4600000000028</v>
      </c>
      <c r="E11" s="6">
        <f>'Konstanta a triple'!D11+('Konstanta b triple'!D11*'Peramalan triple'!$P$1)+'Peramalan triple'!$P$2*('Konstanta c triple'!D11*'Peramalan triple'!$P$3)</f>
        <v>8093.8159999999998</v>
      </c>
      <c r="F11" s="6">
        <f>'Konstanta a triple'!E11+('Konstanta b triple'!E11*'Peramalan triple'!$P$1)+'Peramalan triple'!$P$2*('Konstanta c triple'!E11*'Peramalan triple'!$P$3)</f>
        <v>7779.5540000000001</v>
      </c>
      <c r="G11" s="6">
        <f>'Konstanta a triple'!F11+('Konstanta b triple'!F11*'Peramalan triple'!$P$1)+'Peramalan triple'!$P$2*('Konstanta c triple'!F11*'Peramalan triple'!$P$3)</f>
        <v>30999.197200000006</v>
      </c>
      <c r="H11" s="6">
        <f>'Konstanta a triple'!G11+('Konstanta b triple'!G11*'Peramalan triple'!$P$1)+'Peramalan triple'!$P$2*('Konstanta c triple'!G11*'Peramalan triple'!$P$3)</f>
        <v>21611.024672</v>
      </c>
      <c r="I11" s="6">
        <f>'Konstanta a triple'!H11+('Konstanta b triple'!H11*'Peramalan triple'!$P$1)+'Peramalan triple'!$P$2*('Konstanta c triple'!H11*'Peramalan triple'!$P$3)</f>
        <v>16309.725436799994</v>
      </c>
      <c r="J11" s="6">
        <f>'Konstanta a triple'!I11+('Konstanta b triple'!I11*'Peramalan triple'!$P$1)+'Peramalan triple'!$P$2*('Konstanta c triple'!I11*'Peramalan triple'!$P$3)</f>
        <v>17908.429604479999</v>
      </c>
      <c r="K11" s="6">
        <f>'Konstanta a triple'!J11+('Konstanta b triple'!J11*'Peramalan triple'!$P$1)+'Peramalan triple'!$P$2*('Konstanta c triple'!J11*'Peramalan triple'!$P$3)</f>
        <v>18716.405324159998</v>
      </c>
      <c r="L11" s="6">
        <f>'Konstanta a triple'!K11+('Konstanta b triple'!K11*'Peramalan triple'!$P$1)+'Peramalan triple'!$P$2*('Konstanta c triple'!K11*'Peramalan triple'!$P$3)</f>
        <v>29755.399361024007</v>
      </c>
      <c r="M11" s="6">
        <f>'Konstanta a triple'!L11+('Konstanta b triple'!L11*'Peramalan triple'!$P$1)+'Peramalan triple'!$P$2*('Konstanta c triple'!L11*'Peramalan triple'!$P$3)</f>
        <v>19006.136201564172</v>
      </c>
    </row>
    <row r="12" spans="1:16" x14ac:dyDescent="0.3">
      <c r="A12" s="6" t="str">
        <f>'Konstanta c triple'!A12</f>
        <v>Oil B 200 LT</v>
      </c>
      <c r="B12" s="6">
        <v>0</v>
      </c>
      <c r="C12" s="6">
        <f>'Konstanta a triple'!B12+('Konstanta b triple'!B12*'Peramalan triple'!$P$1)+'Peramalan triple'!$P$2*('Konstanta c triple'!B12*'Peramalan triple'!$P$3)</f>
        <v>1033.08</v>
      </c>
      <c r="D12" s="6">
        <f>'Konstanta a triple'!C12+('Konstanta b triple'!C12*'Peramalan triple'!$P$1)+'Peramalan triple'!$P$2*('Konstanta c triple'!C12*'Peramalan triple'!$P$3)</f>
        <v>15699.995999999999</v>
      </c>
      <c r="E12" s="6">
        <f>'Konstanta a triple'!D12+('Konstanta b triple'!D12*'Peramalan triple'!$P$1)+'Peramalan triple'!$P$2*('Konstanta c triple'!D12*'Peramalan triple'!$P$3)</f>
        <v>20911.593600000004</v>
      </c>
      <c r="F12" s="6">
        <f>'Konstanta a triple'!E12+('Konstanta b triple'!E12*'Peramalan triple'!$P$1)+'Peramalan triple'!$P$2*('Konstanta c triple'!E12*'Peramalan triple'!$P$3)</f>
        <v>23262.762400000003</v>
      </c>
      <c r="G12" s="6">
        <f>'Konstanta a triple'!F12+('Konstanta b triple'!F12*'Peramalan triple'!$P$1)+'Peramalan triple'!$P$2*('Konstanta c triple'!F12*'Peramalan triple'!$P$3)</f>
        <v>28979.901759999997</v>
      </c>
      <c r="H12" s="6">
        <f>'Konstanta a triple'!G12+('Konstanta b triple'!G12*'Peramalan triple'!$P$1)+'Peramalan triple'!$P$2*('Konstanta c triple'!G12*'Peramalan triple'!$P$3)</f>
        <v>26276.92153919999</v>
      </c>
      <c r="I12" s="6">
        <f>'Konstanta a triple'!H12+('Konstanta b triple'!H12*'Peramalan triple'!$P$1)+'Peramalan triple'!$P$2*('Konstanta c triple'!H12*'Peramalan triple'!$P$3)</f>
        <v>45586.506263680014</v>
      </c>
      <c r="J12" s="6">
        <f>'Konstanta a triple'!I12+('Konstanta b triple'!I12*'Peramalan triple'!$P$1)+'Peramalan triple'!$P$2*('Konstanta c triple'!I12*'Peramalan triple'!$P$3)</f>
        <v>43875.217698688</v>
      </c>
      <c r="K12" s="6">
        <f>'Konstanta a triple'!J12+('Konstanta b triple'!J12*'Peramalan triple'!$P$1)+'Peramalan triple'!$P$2*('Konstanta c triple'!J12*'Peramalan triple'!$P$3)</f>
        <v>39849.594598656018</v>
      </c>
      <c r="L12" s="6">
        <f>'Konstanta a triple'!K12+('Konstanta b triple'!K12*'Peramalan triple'!$P$1)+'Peramalan triple'!$P$2*('Konstanta c triple'!K12*'Peramalan triple'!$P$3)</f>
        <v>50184.183142297625</v>
      </c>
      <c r="M12" s="6">
        <f>'Konstanta a triple'!L12+('Konstanta b triple'!L12*'Peramalan triple'!$P$1)+'Peramalan triple'!$P$2*('Konstanta c triple'!L12*'Peramalan triple'!$P$3)</f>
        <v>55239.462973822992</v>
      </c>
    </row>
    <row r="13" spans="1:16" x14ac:dyDescent="0.3">
      <c r="A13" s="6">
        <f>'Konstanta c triple'!A13</f>
        <v>0.30000000000000004</v>
      </c>
      <c r="C13" s="6" t="str">
        <f>'Konstanta c triple'!B13</f>
        <v>T1</v>
      </c>
      <c r="D13" s="6" t="str">
        <f>'Konstanta c triple'!C13</f>
        <v>T2</v>
      </c>
      <c r="E13" s="6" t="str">
        <f>'Konstanta c triple'!D13</f>
        <v>T3</v>
      </c>
      <c r="F13" s="6" t="str">
        <f>'Konstanta c triple'!E13</f>
        <v>T4</v>
      </c>
      <c r="G13" s="6" t="str">
        <f>'Konstanta c triple'!F13</f>
        <v>T5</v>
      </c>
      <c r="H13" s="6" t="str">
        <f>'Konstanta c triple'!G13</f>
        <v>T6</v>
      </c>
      <c r="I13" s="6" t="str">
        <f>'Konstanta c triple'!H13</f>
        <v>T7</v>
      </c>
      <c r="J13" s="6" t="str">
        <f>'Konstanta c triple'!I13</f>
        <v>T8</v>
      </c>
      <c r="K13" s="6" t="str">
        <f>'Konstanta c triple'!J13</f>
        <v>T9</v>
      </c>
      <c r="L13" s="6" t="str">
        <f>'Konstanta c triple'!K13</f>
        <v>T10</v>
      </c>
      <c r="M13" s="6" t="str">
        <f>'Konstanta c triple'!L13</f>
        <v>T11</v>
      </c>
    </row>
    <row r="14" spans="1:16" x14ac:dyDescent="0.3">
      <c r="A14" s="6" t="str">
        <f>'Konstanta c triple'!A14</f>
        <v>Oil A 20 LT</v>
      </c>
      <c r="B14" s="6">
        <v>0</v>
      </c>
      <c r="C14" s="6">
        <f>'Konstanta a triple'!B14+('Konstanta b triple'!B14*'Peramalan triple'!$P$1)+'Peramalan triple'!$P$2*('Konstanta c triple'!B14*'Peramalan triple'!$P$3)</f>
        <v>12588.090000000002</v>
      </c>
      <c r="D14" s="6">
        <f>'Konstanta a triple'!C14+('Konstanta b triple'!C14*'Peramalan triple'!$P$1)+'Peramalan triple'!$P$2*('Konstanta c triple'!C14*'Peramalan triple'!$P$3)</f>
        <v>5569.5840000000107</v>
      </c>
      <c r="E14" s="6">
        <f>'Konstanta a triple'!D14+('Konstanta b triple'!D14*'Peramalan triple'!$P$1)+'Peramalan triple'!$P$2*('Konstanta c triple'!D14*'Peramalan triple'!$P$3)</f>
        <v>17374.662600000014</v>
      </c>
      <c r="F14" s="6">
        <f>'Konstanta a triple'!E14+('Konstanta b triple'!E14*'Peramalan triple'!$P$1)+'Peramalan triple'!$P$2*('Konstanta c triple'!E14*'Peramalan triple'!$P$3)</f>
        <v>13585.421400000014</v>
      </c>
      <c r="G14" s="6">
        <f>'Konstanta a triple'!F14+('Konstanta b triple'!F14*'Peramalan triple'!$P$1)+'Peramalan triple'!$P$2*('Konstanta c triple'!F14*'Peramalan triple'!$P$3)</f>
        <v>9914.5850100000207</v>
      </c>
      <c r="H14" s="6">
        <f>'Konstanta a triple'!G14+('Konstanta b triple'!G14*'Peramalan triple'!$P$1)+'Peramalan triple'!$P$2*('Konstanta c triple'!G14*'Peramalan triple'!$P$3)</f>
        <v>7553.3698248000283</v>
      </c>
      <c r="I14" s="6">
        <f>'Konstanta a triple'!H14+('Konstanta b triple'!H14*'Peramalan triple'!$P$1)+'Peramalan triple'!$P$2*('Konstanta c triple'!H14*'Peramalan triple'!$P$3)</f>
        <v>15838.544027580021</v>
      </c>
      <c r="J14" s="6">
        <f>'Konstanta a triple'!I14+('Konstanta b triple'!I14*'Peramalan triple'!$P$1)+'Peramalan triple'!$P$2*('Konstanta c triple'!I14*'Peramalan triple'!$P$3)</f>
        <v>12930.122993892013</v>
      </c>
      <c r="K14" s="6">
        <f>'Konstanta a triple'!J14+('Konstanta b triple'!J14*'Peramalan triple'!$P$1)+'Peramalan triple'!$P$2*('Konstanta c triple'!J14*'Peramalan triple'!$P$3)</f>
        <v>11364.006816537012</v>
      </c>
      <c r="L14" s="6">
        <f>'Konstanta a triple'!K14+('Konstanta b triple'!K14*'Peramalan triple'!$P$1)+'Peramalan triple'!$P$2*('Konstanta c triple'!K14*'Peramalan triple'!$P$3)</f>
        <v>8450.8033751664188</v>
      </c>
      <c r="M14" s="6">
        <f>'Konstanta a triple'!L14+('Konstanta b triple'!L14*'Peramalan triple'!$P$1)+'Peramalan triple'!$P$2*('Konstanta c triple'!L14*'Peramalan triple'!$P$3)</f>
        <v>16104.318404445026</v>
      </c>
    </row>
    <row r="15" spans="1:16" x14ac:dyDescent="0.3">
      <c r="A15" s="6" t="str">
        <f>'Konstanta c triple'!A15</f>
        <v>Oil A 200 LT</v>
      </c>
      <c r="B15" s="6">
        <v>0</v>
      </c>
      <c r="C15" s="6">
        <f>'Konstanta a triple'!B15+('Konstanta b triple'!B15*'Peramalan triple'!$P$1)+'Peramalan triple'!$P$2*('Konstanta c triple'!B15*'Peramalan triple'!$P$3)</f>
        <v>459915.78000000014</v>
      </c>
      <c r="D15" s="6">
        <f>'Konstanta a triple'!C15+('Konstanta b triple'!C15*'Peramalan triple'!$P$1)+'Peramalan triple'!$P$2*('Konstanta c triple'!C15*'Peramalan triple'!$P$3)</f>
        <v>403490.26200000034</v>
      </c>
      <c r="E15" s="6">
        <f>'Konstanta a triple'!D15+('Konstanta b triple'!D15*'Peramalan triple'!$P$1)+'Peramalan triple'!$P$2*('Konstanta c triple'!D15*'Peramalan triple'!$P$3)</f>
        <v>373736.45280000038</v>
      </c>
      <c r="F15" s="6">
        <f>'Konstanta a triple'!E15+('Konstanta b triple'!E15*'Peramalan triple'!$P$1)+'Peramalan triple'!$P$2*('Konstanta c triple'!E15*'Peramalan triple'!$P$3)</f>
        <v>470219.06820000062</v>
      </c>
      <c r="G15" s="6">
        <f>'Konstanta a triple'!F15+('Konstanta b triple'!F15*'Peramalan triple'!$P$1)+'Peramalan triple'!$P$2*('Konstanta c triple'!F15*'Peramalan triple'!$P$3)</f>
        <v>239132.97633000027</v>
      </c>
      <c r="H15" s="6">
        <f>'Konstanta a triple'!G15+('Konstanta b triple'!G15*'Peramalan triple'!$P$1)+'Peramalan triple'!$P$2*('Konstanta c triple'!G15*'Peramalan triple'!$P$3)</f>
        <v>304320.67964940041</v>
      </c>
      <c r="I15" s="6">
        <f>'Konstanta a triple'!H15+('Konstanta b triple'!H15*'Peramalan triple'!$P$1)+'Peramalan triple'!$P$2*('Konstanta c triple'!H15*'Peramalan triple'!$P$3)</f>
        <v>419317.33451124094</v>
      </c>
      <c r="J15" s="6">
        <f>'Konstanta a triple'!I15+('Konstanta b triple'!I15*'Peramalan triple'!$P$1)+'Peramalan triple'!$P$2*('Konstanta c triple'!I15*'Peramalan triple'!$P$3)</f>
        <v>515314.58047017711</v>
      </c>
      <c r="K15" s="6">
        <f>'Konstanta a triple'!J15+('Konstanta b triple'!J15*'Peramalan triple'!$P$1)+'Peramalan triple'!$P$2*('Konstanta c triple'!J15*'Peramalan triple'!$P$3)</f>
        <v>553357.68733559211</v>
      </c>
      <c r="L15" s="6">
        <f>'Konstanta a triple'!K15+('Konstanta b triple'!K15*'Peramalan triple'!$P$1)+'Peramalan triple'!$P$2*('Konstanta c triple'!K15*'Peramalan triple'!$P$3)</f>
        <v>572657.84887093853</v>
      </c>
      <c r="M15" s="6">
        <f>'Konstanta a triple'!L15+('Konstanta b triple'!L15*'Peramalan triple'!$P$1)+'Peramalan triple'!$P$2*('Konstanta c triple'!L15*'Peramalan triple'!$P$3)</f>
        <v>531335.27494692174</v>
      </c>
    </row>
    <row r="16" spans="1:16" x14ac:dyDescent="0.3">
      <c r="A16" s="6" t="str">
        <f>'Konstanta c triple'!A16</f>
        <v>Oil A 1000 LT</v>
      </c>
      <c r="B16" s="6">
        <v>0</v>
      </c>
      <c r="C16" s="6">
        <f>'Konstanta a triple'!B16+('Konstanta b triple'!B16*'Peramalan triple'!$P$1)+'Peramalan triple'!$P$2*('Konstanta c triple'!B16*'Peramalan triple'!$P$3)</f>
        <v>23458.3</v>
      </c>
      <c r="D16" s="6">
        <f>'Konstanta a triple'!C16+('Konstanta b triple'!C16*'Peramalan triple'!$P$1)+'Peramalan triple'!$P$2*('Konstanta c triple'!C16*'Peramalan triple'!$P$3)</f>
        <v>40340.770000000004</v>
      </c>
      <c r="E16" s="6">
        <f>'Konstanta a triple'!D16+('Konstanta b triple'!D16*'Peramalan triple'!$P$1)+'Peramalan triple'!$P$2*('Konstanta c triple'!D16*'Peramalan triple'!$P$3)</f>
        <v>34975.528000000049</v>
      </c>
      <c r="F16" s="6">
        <f>'Konstanta a triple'!E16+('Konstanta b triple'!E16*'Peramalan triple'!$P$1)+'Peramalan triple'!$P$2*('Konstanta c triple'!E16*'Peramalan triple'!$P$3)</f>
        <v>41378.983000000044</v>
      </c>
      <c r="G16" s="6">
        <f>'Konstanta a triple'!F16+('Konstanta b triple'!F16*'Peramalan triple'!$P$1)+'Peramalan triple'!$P$2*('Konstanta c triple'!F16*'Peramalan triple'!$P$3)</f>
        <v>29437.503550000056</v>
      </c>
      <c r="H16" s="6">
        <f>'Konstanta a triple'!G16+('Konstanta b triple'!G16*'Peramalan triple'!$P$1)+'Peramalan triple'!$P$2*('Konstanta c triple'!G16*'Peramalan triple'!$P$3)</f>
        <v>53845.843849000048</v>
      </c>
      <c r="I16" s="6">
        <f>'Konstanta a triple'!H16+('Konstanta b triple'!H16*'Peramalan triple'!$P$1)+'Peramalan triple'!$P$2*('Konstanta c triple'!H16*'Peramalan triple'!$P$3)</f>
        <v>87494.377233400068</v>
      </c>
      <c r="J16" s="6">
        <f>'Konstanta a triple'!I16+('Konstanta b triple'!I16*'Peramalan triple'!$P$1)+'Peramalan triple'!$P$2*('Konstanta c triple'!I16*'Peramalan triple'!$P$3)</f>
        <v>72804.097749760054</v>
      </c>
      <c r="K16" s="6">
        <f>'Konstanta a triple'!J16+('Konstanta b triple'!J16*'Peramalan triple'!$P$1)+'Peramalan triple'!$P$2*('Konstanta c triple'!J16*'Peramalan triple'!$P$3)</f>
        <v>25192.661081605023</v>
      </c>
      <c r="L16" s="6">
        <f>'Konstanta a triple'!K16+('Konstanta b triple'!K16*'Peramalan triple'!$P$1)+'Peramalan triple'!$P$2*('Konstanta c triple'!K16*'Peramalan triple'!$P$3)</f>
        <v>15964.903370279546</v>
      </c>
      <c r="M16" s="6">
        <f>'Konstanta a triple'!L16+('Konstanta b triple'!L16*'Peramalan triple'!$P$1)+'Peramalan triple'!$P$2*('Konstanta c triple'!L16*'Peramalan triple'!$P$3)</f>
        <v>15991.257315795316</v>
      </c>
    </row>
    <row r="17" spans="1:13" x14ac:dyDescent="0.3">
      <c r="A17" s="6" t="str">
        <f>'Konstanta c triple'!A17</f>
        <v>Oil B 20 LT</v>
      </c>
      <c r="B17" s="6">
        <v>0</v>
      </c>
      <c r="C17" s="6">
        <f>'Konstanta a triple'!B17+('Konstanta b triple'!B17*'Peramalan triple'!$P$1)+'Peramalan triple'!$P$2*('Konstanta c triple'!B17*'Peramalan triple'!$P$3)</f>
        <v>4698.6499999999996</v>
      </c>
      <c r="D17" s="6">
        <f>'Konstanta a triple'!C17+('Konstanta b triple'!C17*'Peramalan triple'!$P$1)+'Peramalan triple'!$P$2*('Konstanta c triple'!C17*'Peramalan triple'!$P$3)</f>
        <v>8250.3650000000034</v>
      </c>
      <c r="E17" s="6">
        <f>'Konstanta a triple'!D17+('Konstanta b triple'!D17*'Peramalan triple'!$P$1)+'Peramalan triple'!$P$2*('Konstanta c triple'!D17*'Peramalan triple'!$P$3)</f>
        <v>9081.0560000000023</v>
      </c>
      <c r="F17" s="6">
        <f>'Konstanta a triple'!E17+('Konstanta b triple'!E17*'Peramalan triple'!$P$1)+'Peramalan triple'!$P$2*('Konstanta c triple'!E17*'Peramalan triple'!$P$3)</f>
        <v>7898.9285000000045</v>
      </c>
      <c r="G17" s="6">
        <f>'Konstanta a triple'!F17+('Konstanta b triple'!F17*'Peramalan triple'!$P$1)+'Peramalan triple'!$P$2*('Konstanta c triple'!F17*'Peramalan triple'!$P$3)</f>
        <v>42433.734575000024</v>
      </c>
      <c r="H17" s="6">
        <f>'Konstanta a triple'!G17+('Konstanta b triple'!G17*'Peramalan triple'!$P$1)+'Peramalan triple'!$P$2*('Konstanta c triple'!G17*'Peramalan triple'!$P$3)</f>
        <v>21244.728840500014</v>
      </c>
      <c r="I17" s="6">
        <f>'Konstanta a triple'!H17+('Konstanta b triple'!H17*'Peramalan triple'!$P$1)+'Peramalan triple'!$P$2*('Konstanta c triple'!H17*'Peramalan triple'!$P$3)</f>
        <v>12111.114815300012</v>
      </c>
      <c r="J17" s="6">
        <f>'Konstanta a triple'!I17+('Konstanta b triple'!I17*'Peramalan triple'!$P$1)+'Peramalan triple'!$P$2*('Konstanta c triple'!I17*'Peramalan triple'!$P$3)</f>
        <v>15594.128515820015</v>
      </c>
      <c r="K17" s="6">
        <f>'Konstanta a triple'!J17+('Konstanta b triple'!J17*'Peramalan triple'!$P$1)+'Peramalan triple'!$P$2*('Konstanta c triple'!J17*'Peramalan triple'!$P$3)</f>
        <v>17110.65856702251</v>
      </c>
      <c r="L17" s="6">
        <f>'Konstanta a triple'!K17+('Konstanta b triple'!K17*'Peramalan triple'!$P$1)+'Peramalan triple'!$P$2*('Konstanta c triple'!K17*'Peramalan triple'!$P$3)</f>
        <v>33729.804454139776</v>
      </c>
      <c r="M17" s="6">
        <f>'Konstanta a triple'!L17+('Konstanta b triple'!L17*'Peramalan triple'!$P$1)+'Peramalan triple'!$P$2*('Konstanta c triple'!L17*'Peramalan triple'!$P$3)</f>
        <v>14439.945341096665</v>
      </c>
    </row>
    <row r="18" spans="1:13" x14ac:dyDescent="0.3">
      <c r="A18" s="6" t="str">
        <f>'Konstanta c triple'!A18</f>
        <v>Oil B 200 LT</v>
      </c>
      <c r="B18" s="6">
        <v>0</v>
      </c>
      <c r="C18" s="6">
        <f>'Konstanta a triple'!B18+('Konstanta b triple'!B18*'Peramalan triple'!$P$1)+'Peramalan triple'!$P$2*('Konstanta c triple'!B18*'Peramalan triple'!$P$3)</f>
        <v>1033.08</v>
      </c>
      <c r="D18" s="6">
        <f>'Konstanta a triple'!C18+('Konstanta b triple'!C18*'Peramalan triple'!$P$1)+'Peramalan triple'!$P$2*('Konstanta c triple'!C18*'Peramalan triple'!$P$3)</f>
        <v>23033.454000000005</v>
      </c>
      <c r="E18" s="6">
        <f>'Konstanta a triple'!D18+('Konstanta b triple'!D18*'Peramalan triple'!$P$1)+'Peramalan triple'!$P$2*('Konstanta c triple'!D18*'Peramalan triple'!$P$3)</f>
        <v>26450.775600000001</v>
      </c>
      <c r="F18" s="6">
        <f>'Konstanta a triple'!E18+('Konstanta b triple'!E18*'Peramalan triple'!$P$1)+'Peramalan triple'!$P$2*('Konstanta c triple'!E18*'Peramalan triple'!$P$3)</f>
        <v>25920.673800000004</v>
      </c>
      <c r="G18" s="6">
        <f>'Konstanta a triple'!F18+('Konstanta b triple'!F18*'Peramalan triple'!$P$1)+'Peramalan triple'!$P$2*('Konstanta c triple'!F18*'Peramalan triple'!$P$3)</f>
        <v>31577.704710000016</v>
      </c>
      <c r="H18" s="6">
        <f>'Konstanta a triple'!G18+('Konstanta b triple'!G18*'Peramalan triple'!$P$1)+'Peramalan triple'!$P$2*('Konstanta c triple'!G18*'Peramalan triple'!$P$3)</f>
        <v>24309.244735800021</v>
      </c>
      <c r="I18" s="6">
        <f>'Konstanta a triple'!H18+('Konstanta b triple'!H18*'Peramalan triple'!$P$1)+'Peramalan triple'!$P$2*('Konstanta c triple'!H18*'Peramalan triple'!$P$3)</f>
        <v>52458.412634880042</v>
      </c>
      <c r="J18" s="6">
        <f>'Konstanta a triple'!I18+('Konstanta b triple'!I18*'Peramalan triple'!$P$1)+'Peramalan triple'!$P$2*('Konstanta c triple'!I18*'Peramalan triple'!$P$3)</f>
        <v>43873.722817152033</v>
      </c>
      <c r="K18" s="6">
        <f>'Konstanta a triple'!J18+('Konstanta b triple'!J18*'Peramalan triple'!$P$1)+'Peramalan triple'!$P$2*('Konstanta c triple'!J18*'Peramalan triple'!$P$3)</f>
        <v>35166.818167125028</v>
      </c>
      <c r="L18" s="6">
        <f>'Konstanta a triple'!K18+('Konstanta b triple'!K18*'Peramalan triple'!$P$1)+'Peramalan triple'!$P$2*('Konstanta c triple'!K18*'Peramalan triple'!$P$3)</f>
        <v>50686.162963512928</v>
      </c>
      <c r="M18" s="6">
        <f>'Konstanta a triple'!L18+('Konstanta b triple'!L18*'Peramalan triple'!$P$1)+'Peramalan triple'!$P$2*('Konstanta c triple'!L18*'Peramalan triple'!$P$3)</f>
        <v>55519.040243986528</v>
      </c>
    </row>
    <row r="19" spans="1:13" x14ac:dyDescent="0.3">
      <c r="A19" s="6">
        <f>'Konstanta c triple'!A19</f>
        <v>0.4</v>
      </c>
      <c r="C19" s="6" t="str">
        <f>'Konstanta c triple'!B19</f>
        <v>T1</v>
      </c>
      <c r="D19" s="6" t="str">
        <f>'Konstanta c triple'!C19</f>
        <v>T2</v>
      </c>
      <c r="E19" s="6" t="str">
        <f>'Konstanta c triple'!D19</f>
        <v>T3</v>
      </c>
      <c r="F19" s="6" t="str">
        <f>'Konstanta c triple'!E19</f>
        <v>T4</v>
      </c>
      <c r="G19" s="6" t="str">
        <f>'Konstanta c triple'!F19</f>
        <v>T5</v>
      </c>
      <c r="H19" s="6" t="str">
        <f>'Konstanta c triple'!G19</f>
        <v>T6</v>
      </c>
      <c r="I19" s="6" t="str">
        <f>'Konstanta c triple'!H19</f>
        <v>T7</v>
      </c>
      <c r="J19" s="6" t="str">
        <f>'Konstanta c triple'!I19</f>
        <v>T8</v>
      </c>
      <c r="K19" s="6" t="str">
        <f>'Konstanta c triple'!J19</f>
        <v>T9</v>
      </c>
      <c r="L19" s="6" t="str">
        <f>'Konstanta c triple'!K19</f>
        <v>T10</v>
      </c>
      <c r="M19" s="6" t="str">
        <f>'Konstanta c triple'!L19</f>
        <v>T11</v>
      </c>
    </row>
    <row r="20" spans="1:13" x14ac:dyDescent="0.3">
      <c r="A20" s="6" t="str">
        <f>'Konstanta c triple'!A20</f>
        <v>Oil A 20 LT</v>
      </c>
      <c r="B20" s="6">
        <v>0</v>
      </c>
      <c r="C20" s="6">
        <f>'Konstanta a triple'!B20+('Konstanta b triple'!B20*'Peramalan triple'!$P$1)+'Peramalan triple'!$P$2*('Konstanta c triple'!B20*'Peramalan triple'!$P$3)</f>
        <v>12588.089999999997</v>
      </c>
      <c r="D20" s="6">
        <f>'Konstanta a triple'!C20+('Konstanta b triple'!C20*'Peramalan triple'!$P$1)+'Peramalan triple'!$P$2*('Konstanta c triple'!C20*'Peramalan triple'!$P$3)</f>
        <v>3230.0819999999981</v>
      </c>
      <c r="E20" s="6">
        <f>'Konstanta a triple'!D20+('Konstanta b triple'!D20*'Peramalan triple'!$P$1)+'Peramalan triple'!$P$2*('Konstanta c triple'!D20*'Peramalan triple'!$P$3)</f>
        <v>20841.788400000012</v>
      </c>
      <c r="F20" s="6">
        <f>'Konstanta a triple'!E20+('Konstanta b triple'!E20*'Peramalan triple'!$P$1)+'Peramalan triple'!$P$2*('Konstanta c triple'!E20*'Peramalan triple'!$P$3)</f>
        <v>13452.473200000015</v>
      </c>
      <c r="G20" s="6">
        <f>'Konstanta a triple'!F20+('Konstanta b triple'!F20*'Peramalan triple'!$P$1)+'Peramalan triple'!$P$2*('Konstanta c triple'!F20*'Peramalan triple'!$P$3)</f>
        <v>8488.2061600000088</v>
      </c>
      <c r="H20" s="6">
        <f>'Konstanta a triple'!G20+('Konstanta b triple'!G20*'Peramalan triple'!$P$1)+'Peramalan triple'!$P$2*('Konstanta c triple'!G20*'Peramalan triple'!$P$3)</f>
        <v>6313.851606400015</v>
      </c>
      <c r="I20" s="6">
        <f>'Konstanta a triple'!H20+('Konstanta b triple'!H20*'Peramalan triple'!$P$1)+'Peramalan triple'!$P$2*('Konstanta c triple'!H20*'Peramalan triple'!$P$3)</f>
        <v>18436.990689920018</v>
      </c>
      <c r="J20" s="6">
        <f>'Konstanta a triple'!I20+('Konstanta b triple'!I20*'Peramalan triple'!$P$1)+'Peramalan triple'!$P$2*('Konstanta c triple'!I20*'Peramalan triple'!$P$3)</f>
        <v>12802.446277504001</v>
      </c>
      <c r="K20" s="6">
        <f>'Konstanta a triple'!J20+('Konstanta b triple'!J20*'Peramalan triple'!$P$1)+'Peramalan triple'!$P$2*('Konstanta c triple'!J20*'Peramalan triple'!$P$3)</f>
        <v>10677.993301376004</v>
      </c>
      <c r="L20" s="6">
        <f>'Konstanta a triple'!K20+('Konstanta b triple'!K20*'Peramalan triple'!$P$1)+'Peramalan triple'!$P$2*('Konstanta c triple'!K20*'Peramalan triple'!$P$3)</f>
        <v>7214.8370717952184</v>
      </c>
      <c r="M20" s="6">
        <f>'Konstanta a triple'!L20+('Konstanta b triple'!L20*'Peramalan triple'!$P$1)+'Peramalan triple'!$P$2*('Konstanta c triple'!L20*'Peramalan triple'!$P$3)</f>
        <v>18396.976759686157</v>
      </c>
    </row>
    <row r="21" spans="1:13" x14ac:dyDescent="0.3">
      <c r="A21" s="6" t="str">
        <f>'Konstanta c triple'!A21</f>
        <v>Oil A 200 LT</v>
      </c>
      <c r="B21" s="6">
        <v>0</v>
      </c>
      <c r="C21" s="6">
        <f>'Konstanta a triple'!B21+('Konstanta b triple'!B21*'Peramalan triple'!$P$1)+'Peramalan triple'!$P$2*('Konstanta c triple'!B21*'Peramalan triple'!$P$3)</f>
        <v>459915.78</v>
      </c>
      <c r="D21" s="6">
        <f>'Konstanta a triple'!C21+('Konstanta b triple'!C21*'Peramalan triple'!$P$1)+'Peramalan triple'!$P$2*('Konstanta c triple'!C21*'Peramalan triple'!$P$3)</f>
        <v>384681.75599999982</v>
      </c>
      <c r="E21" s="6">
        <f>'Konstanta a triple'!D21+('Konstanta b triple'!D21*'Peramalan triple'!$P$1)+'Peramalan triple'!$P$2*('Konstanta c triple'!D21*'Peramalan triple'!$P$3)</f>
        <v>360056.81520000019</v>
      </c>
      <c r="F21" s="6">
        <f>'Konstanta a triple'!E21+('Konstanta b triple'!E21*'Peramalan triple'!$P$1)+'Peramalan triple'!$P$2*('Konstanta c triple'!E21*'Peramalan triple'!$P$3)</f>
        <v>503154.93360000034</v>
      </c>
      <c r="G21" s="6">
        <f>'Konstanta a triple'!F21+('Konstanta b triple'!F21*'Peramalan triple'!$P$1)+'Peramalan triple'!$P$2*('Konstanta c triple'!F21*'Peramalan triple'!$P$3)</f>
        <v>175031.76368000032</v>
      </c>
      <c r="H21" s="6">
        <f>'Konstanta a triple'!G21+('Konstanta b triple'!G21*'Peramalan triple'!$P$1)+'Peramalan triple'!$P$2*('Konstanta c triple'!G21*'Peramalan triple'!$P$3)</f>
        <v>313904.29921920004</v>
      </c>
      <c r="I21" s="6">
        <f>'Konstanta a triple'!H21+('Konstanta b triple'!H21*'Peramalan triple'!$P$1)+'Peramalan triple'!$P$2*('Konstanta c triple'!H21*'Peramalan triple'!$P$3)</f>
        <v>472213.85019776039</v>
      </c>
      <c r="J21" s="6">
        <f>'Konstanta a triple'!I21+('Konstanta b triple'!I21*'Peramalan triple'!$P$1)+'Peramalan triple'!$P$2*('Konstanta c triple'!I21*'Peramalan triple'!$P$3)</f>
        <v>569694.2057541121</v>
      </c>
      <c r="K21" s="6">
        <f>'Konstanta a triple'!J21+('Konstanta b triple'!J21*'Peramalan triple'!$P$1)+'Peramalan triple'!$P$2*('Konstanta c triple'!J21*'Peramalan triple'!$P$3)</f>
        <v>579660.61469516845</v>
      </c>
      <c r="L21" s="6">
        <f>'Konstanta a triple'!K21+('Konstanta b triple'!K21*'Peramalan triple'!$P$1)+'Peramalan triple'!$P$2*('Konstanta c triple'!K21*'Peramalan triple'!$P$3)</f>
        <v>576997.8381195782</v>
      </c>
      <c r="M21" s="6">
        <f>'Konstanta a triple'!L21+('Konstanta b triple'!L21*'Peramalan triple'!$P$1)+'Peramalan triple'!$P$2*('Konstanta c triple'!L21*'Peramalan triple'!$P$3)</f>
        <v>505407.33878734667</v>
      </c>
    </row>
    <row r="22" spans="1:13" x14ac:dyDescent="0.3">
      <c r="A22" s="6" t="str">
        <f>'Konstanta c triple'!A22</f>
        <v>Oil A 1000 LT</v>
      </c>
      <c r="B22" s="6">
        <v>0</v>
      </c>
      <c r="C22" s="6">
        <f>'Konstanta a triple'!B22+('Konstanta b triple'!B22*'Peramalan triple'!$P$1)+'Peramalan triple'!$P$2*('Konstanta c triple'!B22*'Peramalan triple'!$P$3)</f>
        <v>23458.299999999992</v>
      </c>
      <c r="D22" s="6">
        <f>'Konstanta a triple'!C22+('Konstanta b triple'!C22*'Peramalan triple'!$P$1)+'Peramalan triple'!$P$2*('Konstanta c triple'!C22*'Peramalan triple'!$P$3)</f>
        <v>45968.259999999995</v>
      </c>
      <c r="E22" s="6">
        <f>'Konstanta a triple'!D22+('Konstanta b triple'!D22*'Peramalan triple'!$P$1)+'Peramalan triple'!$P$2*('Konstanta c triple'!D22*'Peramalan triple'!$P$3)</f>
        <v>34312.612000000023</v>
      </c>
      <c r="F22" s="6">
        <f>'Konstanta a triple'!E22+('Konstanta b triple'!E22*'Peramalan triple'!$P$1)+'Peramalan triple'!$P$2*('Konstanta c triple'!E22*'Peramalan triple'!$P$3)</f>
        <v>42330.42000000002</v>
      </c>
      <c r="G22" s="6">
        <f>'Konstanta a triple'!F22+('Konstanta b triple'!F22*'Peramalan triple'!$P$1)+'Peramalan triple'!$P$2*('Konstanta c triple'!F22*'Peramalan triple'!$P$3)</f>
        <v>24638.040800000006</v>
      </c>
      <c r="H22" s="6">
        <f>'Konstanta a triple'!G22+('Konstanta b triple'!G22*'Peramalan triple'!$P$1)+'Peramalan triple'!$P$2*('Konstanta c triple'!G22*'Peramalan triple'!$P$3)</f>
        <v>59760.641631999999</v>
      </c>
      <c r="I22" s="6">
        <f>'Konstanta a triple'!H22+('Konstanta b triple'!H22*'Peramalan triple'!$P$1)+'Peramalan triple'!$P$2*('Konstanta c triple'!H22*'Peramalan triple'!$P$3)</f>
        <v>99438.52799360003</v>
      </c>
      <c r="J22" s="6">
        <f>'Konstanta a triple'!I22+('Konstanta b triple'!I22*'Peramalan triple'!$P$1)+'Peramalan triple'!$P$2*('Konstanta c triple'!I22*'Peramalan triple'!$P$3)</f>
        <v>68717.099838719994</v>
      </c>
      <c r="K22" s="6">
        <f>'Konstanta a triple'!J22+('Konstanta b triple'!J22*'Peramalan triple'!$P$1)+'Peramalan triple'!$P$2*('Konstanta c triple'!J22*'Peramalan triple'!$P$3)</f>
        <v>4590.2968691200431</v>
      </c>
      <c r="L22" s="6">
        <f>'Konstanta a triple'!K22+('Konstanta b triple'!K22*'Peramalan triple'!$P$1)+'Peramalan triple'!$P$2*('Konstanta c triple'!K22*'Peramalan triple'!$P$3)</f>
        <v>5334.6573852160182</v>
      </c>
      <c r="M22" s="6">
        <f>'Konstanta a triple'!L22+('Konstanta b triple'!L22*'Peramalan triple'!$P$1)+'Peramalan triple'!$P$2*('Konstanta c triple'!L22*'Peramalan triple'!$P$3)</f>
        <v>14059.04423990274</v>
      </c>
    </row>
    <row r="23" spans="1:13" x14ac:dyDescent="0.3">
      <c r="A23" s="6" t="str">
        <f>'Konstanta c triple'!A23</f>
        <v>Oil B 20 LT</v>
      </c>
      <c r="B23" s="6">
        <v>0</v>
      </c>
      <c r="C23" s="6">
        <f>'Konstanta a triple'!B23+('Konstanta b triple'!B23*'Peramalan triple'!$P$1)+'Peramalan triple'!$P$2*('Konstanta c triple'!B23*'Peramalan triple'!$P$3)</f>
        <v>4698.6499999999996</v>
      </c>
      <c r="D23" s="6">
        <f>'Konstanta a triple'!C23+('Konstanta b triple'!C23*'Peramalan triple'!$P$1)+'Peramalan triple'!$P$2*('Konstanta c triple'!C23*'Peramalan triple'!$P$3)</f>
        <v>9434.2699999999986</v>
      </c>
      <c r="E23" s="6">
        <f>'Konstanta a triple'!D23+('Konstanta b triple'!D23*'Peramalan triple'!$P$1)+'Peramalan triple'!$P$2*('Konstanta c triple'!D23*'Peramalan triple'!$P$3)</f>
        <v>9594.7340000000077</v>
      </c>
      <c r="F23" s="6">
        <f>'Konstanta a triple'!E23+('Konstanta b triple'!E23*'Peramalan triple'!$P$1)+'Peramalan triple'!$P$2*('Konstanta c triple'!E23*'Peramalan triple'!$P$3)</f>
        <v>7386.6260000000093</v>
      </c>
      <c r="G23" s="6">
        <f>'Konstanta a triple'!F23+('Konstanta b triple'!F23*'Peramalan triple'!$P$1)+'Peramalan triple'!$P$2*('Konstanta c triple'!F23*'Peramalan triple'!$P$3)</f>
        <v>53508.630000000012</v>
      </c>
      <c r="H23" s="6">
        <f>'Konstanta a triple'!G23+('Konstanta b triple'!G23*'Peramalan triple'!$P$1)+'Peramalan triple'!$P$2*('Konstanta c triple'!G23*'Peramalan triple'!$P$3)</f>
        <v>16132.823504000009</v>
      </c>
      <c r="I23" s="6">
        <f>'Konstanta a triple'!H23+('Konstanta b triple'!H23*'Peramalan triple'!$P$1)+'Peramalan triple'!$P$2*('Konstanta c triple'!H23*'Peramalan triple'!$P$3)</f>
        <v>5694.845123200018</v>
      </c>
      <c r="J23" s="6">
        <f>'Konstanta a triple'!I23+('Konstanta b triple'!I23*'Peramalan triple'!$P$1)+'Peramalan triple'!$P$2*('Konstanta c triple'!I23*'Peramalan triple'!$P$3)</f>
        <v>13896.060397440007</v>
      </c>
      <c r="K23" s="6">
        <f>'Konstanta a triple'!J23+('Konstanta b triple'!J23*'Peramalan triple'!$P$1)+'Peramalan triple'!$P$2*('Konstanta c triple'!J23*'Peramalan triple'!$P$3)</f>
        <v>16789.210499199999</v>
      </c>
      <c r="L23" s="6">
        <f>'Konstanta a triple'!K23+('Konstanta b triple'!K23*'Peramalan triple'!$P$1)+'Peramalan triple'!$P$2*('Konstanta c triple'!K23*'Peramalan triple'!$P$3)</f>
        <v>39019.016215936019</v>
      </c>
      <c r="M23" s="6">
        <f>'Konstanta a triple'!L23+('Konstanta b triple'!L23*'Peramalan triple'!$P$1)+'Peramalan triple'!$P$2*('Konstanta c triple'!L23*'Peramalan triple'!$P$3)</f>
        <v>8952.2148953958404</v>
      </c>
    </row>
    <row r="24" spans="1:13" x14ac:dyDescent="0.3">
      <c r="A24" s="6" t="str">
        <f>'Konstanta c triple'!A24</f>
        <v>Oil B 200 LT</v>
      </c>
      <c r="B24" s="6">
        <v>0</v>
      </c>
      <c r="C24" s="6">
        <f>'Konstanta a triple'!B24+('Konstanta b triple'!B24*'Peramalan triple'!$P$1)+'Peramalan triple'!$P$2*('Konstanta c triple'!B24*'Peramalan triple'!$P$3)</f>
        <v>1033.08</v>
      </c>
      <c r="D24" s="6">
        <f>'Konstanta a triple'!C24+('Konstanta b triple'!C24*'Peramalan triple'!$P$1)+'Peramalan triple'!$P$2*('Konstanta c triple'!C24*'Peramalan triple'!$P$3)</f>
        <v>30366.912000000004</v>
      </c>
      <c r="E24" s="6">
        <f>'Konstanta a triple'!D24+('Konstanta b triple'!D24*'Peramalan triple'!$P$1)+'Peramalan triple'!$P$2*('Konstanta c triple'!D24*'Peramalan triple'!$P$3)</f>
        <v>29056.574400000005</v>
      </c>
      <c r="F24" s="6">
        <f>'Konstanta a triple'!E24+('Konstanta b triple'!E24*'Peramalan triple'!$P$1)+'Peramalan triple'!$P$2*('Konstanta c triple'!E24*'Peramalan triple'!$P$3)</f>
        <v>24896.220800000003</v>
      </c>
      <c r="G24" s="6">
        <f>'Konstanta a triple'!F24+('Konstanta b triple'!F24*'Peramalan triple'!$P$1)+'Peramalan triple'!$P$2*('Konstanta c triple'!F24*'Peramalan triple'!$P$3)</f>
        <v>31295.605760000013</v>
      </c>
      <c r="H24" s="6">
        <f>'Konstanta a triple'!G24+('Konstanta b triple'!G24*'Peramalan triple'!$P$1)+'Peramalan triple'!$P$2*('Konstanta c triple'!G24*'Peramalan triple'!$P$3)</f>
        <v>19910.293574399991</v>
      </c>
      <c r="I24" s="6">
        <f>'Konstanta a triple'!H24+('Konstanta b triple'!H24*'Peramalan triple'!$P$1)+'Peramalan triple'!$P$2*('Konstanta c triple'!H24*'Peramalan triple'!$P$3)</f>
        <v>58959.283505919979</v>
      </c>
      <c r="J24" s="6">
        <f>'Konstanta a triple'!I24+('Konstanta b triple'!I24*'Peramalan triple'!$P$1)+'Peramalan triple'!$P$2*('Konstanta c triple'!I24*'Peramalan triple'!$P$3)</f>
        <v>40998.674654463997</v>
      </c>
      <c r="K24" s="6">
        <f>'Konstanta a triple'!J24+('Konstanta b triple'!J24*'Peramalan triple'!$P$1)+'Peramalan triple'!$P$2*('Konstanta c triple'!J24*'Peramalan triple'!$P$3)</f>
        <v>29093.772563711995</v>
      </c>
      <c r="L24" s="6">
        <f>'Konstanta a triple'!K24+('Konstanta b triple'!K24*'Peramalan triple'!$P$1)+'Peramalan triple'!$P$2*('Konstanta c triple'!K24*'Peramalan triple'!$P$3)</f>
        <v>52422.599065139228</v>
      </c>
      <c r="M24" s="6">
        <f>'Konstanta a triple'!L24+('Konstanta b triple'!L24*'Peramalan triple'!$P$1)+'Peramalan triple'!$P$2*('Konstanta c triple'!L24*'Peramalan triple'!$P$3)</f>
        <v>56266.589673805887</v>
      </c>
    </row>
    <row r="25" spans="1:13" x14ac:dyDescent="0.3">
      <c r="A25" s="6">
        <f>'Konstanta c triple'!A25</f>
        <v>0.5</v>
      </c>
      <c r="C25" s="6" t="str">
        <f>'Konstanta c triple'!B25</f>
        <v>T1</v>
      </c>
      <c r="D25" s="6" t="str">
        <f>'Konstanta c triple'!C25</f>
        <v>T2</v>
      </c>
      <c r="E25" s="6" t="str">
        <f>'Konstanta c triple'!D25</f>
        <v>T3</v>
      </c>
      <c r="F25" s="6" t="str">
        <f>'Konstanta c triple'!E25</f>
        <v>T4</v>
      </c>
      <c r="G25" s="6" t="str">
        <f>'Konstanta c triple'!F25</f>
        <v>T5</v>
      </c>
      <c r="H25" s="6" t="str">
        <f>'Konstanta c triple'!G25</f>
        <v>T6</v>
      </c>
      <c r="I25" s="6" t="str">
        <f>'Konstanta c triple'!H25</f>
        <v>T7</v>
      </c>
      <c r="J25" s="6" t="str">
        <f>'Konstanta c triple'!I25</f>
        <v>T8</v>
      </c>
      <c r="K25" s="6" t="str">
        <f>'Konstanta c triple'!J25</f>
        <v>T9</v>
      </c>
      <c r="L25" s="6" t="str">
        <f>'Konstanta c triple'!K25</f>
        <v>T10</v>
      </c>
      <c r="M25" s="6" t="str">
        <f>'Konstanta c triple'!L25</f>
        <v>T11</v>
      </c>
    </row>
    <row r="26" spans="1:13" x14ac:dyDescent="0.3">
      <c r="A26" s="6" t="str">
        <f>'Konstanta c triple'!A26</f>
        <v>Oil A 20 LT</v>
      </c>
      <c r="B26" s="6">
        <v>0</v>
      </c>
      <c r="C26" s="6">
        <f>'Konstanta a triple'!B26+('Konstanta b triple'!B26*'Peramalan triple'!$P$1)+'Peramalan triple'!$P$2*('Konstanta c triple'!B26*'Peramalan triple'!$P$3)</f>
        <v>12588.089999999993</v>
      </c>
      <c r="D26" s="6">
        <f>'Konstanta a triple'!C26+('Konstanta b triple'!C26*'Peramalan triple'!$P$1)+'Peramalan triple'!$P$2*('Konstanta c triple'!C26*'Peramalan triple'!$P$3)</f>
        <v>890.58000000000175</v>
      </c>
      <c r="E26" s="6">
        <f>'Konstanta a triple'!D26+('Konstanta b triple'!D26*'Peramalan triple'!$P$1)+'Peramalan triple'!$P$2*('Konstanta c triple'!D26*'Peramalan triple'!$P$3)</f>
        <v>25244.715000000011</v>
      </c>
      <c r="F26" s="6">
        <f>'Konstanta a triple'!E26+('Konstanta b triple'!E26*'Peramalan triple'!$P$1)+'Peramalan triple'!$P$2*('Konstanta c triple'!E26*'Peramalan triple'!$P$3)</f>
        <v>12306.99499999999</v>
      </c>
      <c r="G26" s="6">
        <f>'Konstanta a triple'!F26+('Konstanta b triple'!F26*'Peramalan triple'!$P$1)+'Peramalan triple'!$P$2*('Konstanta c triple'!F26*'Peramalan triple'!$P$3)</f>
        <v>6702.19625000003</v>
      </c>
      <c r="H26" s="6">
        <f>'Konstanta a triple'!G26+('Konstanta b triple'!G26*'Peramalan triple'!$P$1)+'Peramalan triple'!$P$2*('Konstanta c triple'!G26*'Peramalan triple'!$P$3)</f>
        <v>5504.791250000012</v>
      </c>
      <c r="I26" s="6">
        <f>'Konstanta a triple'!H26+('Konstanta b triple'!H26*'Peramalan triple'!$P$1)+'Peramalan triple'!$P$2*('Konstanta c triple'!H26*'Peramalan triple'!$P$3)</f>
        <v>21708.656562499993</v>
      </c>
      <c r="J26" s="6">
        <f>'Konstanta a triple'!I26+('Konstanta b triple'!I26*'Peramalan triple'!$P$1)+'Peramalan triple'!$P$2*('Konstanta c triple'!I26*'Peramalan triple'!$P$3)</f>
        <v>11904.225937500018</v>
      </c>
      <c r="K26" s="6">
        <f>'Konstanta a triple'!J26+('Konstanta b triple'!J26*'Peramalan triple'!$P$1)+'Peramalan triple'!$P$2*('Konstanta c triple'!J26*'Peramalan triple'!$P$3)</f>
        <v>9728.9653906249914</v>
      </c>
      <c r="L26" s="6">
        <f>'Konstanta a triple'!K26+('Konstanta b triple'!K26*'Peramalan triple'!$P$1)+'Peramalan triple'!$P$2*('Konstanta c triple'!K26*'Peramalan triple'!$P$3)</f>
        <v>6150.978203124997</v>
      </c>
      <c r="M26" s="6">
        <f>'Konstanta a triple'!L26+('Konstanta b triple'!L26*'Peramalan triple'!$P$1)+'Peramalan triple'!$P$2*('Konstanta c triple'!L26*'Peramalan triple'!$P$3)</f>
        <v>21256.787753906276</v>
      </c>
    </row>
    <row r="27" spans="1:13" x14ac:dyDescent="0.3">
      <c r="A27" s="6" t="str">
        <f>'Konstanta c triple'!A27</f>
        <v>Oil A 200 LT</v>
      </c>
      <c r="B27" s="6">
        <v>0</v>
      </c>
      <c r="C27" s="6">
        <f>'Konstanta a triple'!B27+('Konstanta b triple'!B27*'Peramalan triple'!$P$1)+'Peramalan triple'!$P$2*('Konstanta c triple'!B27*'Peramalan triple'!$P$3)</f>
        <v>459915.78</v>
      </c>
      <c r="D27" s="6">
        <f>'Konstanta a triple'!C27+('Konstanta b triple'!C27*'Peramalan triple'!$P$1)+'Peramalan triple'!$P$2*('Konstanta c triple'!C27*'Peramalan triple'!$P$3)</f>
        <v>365873.24999999977</v>
      </c>
      <c r="E27" s="6">
        <f>'Konstanta a triple'!D27+('Konstanta b triple'!D27*'Peramalan triple'!$P$1)+'Peramalan triple'!$P$2*('Konstanta c triple'!D27*'Peramalan triple'!$P$3)</f>
        <v>353900.58000000019</v>
      </c>
      <c r="F27" s="6">
        <f>'Konstanta a triple'!E27+('Konstanta b triple'!E27*'Peramalan triple'!$P$1)+'Peramalan triple'!$P$2*('Konstanta c triple'!E27*'Peramalan triple'!$P$3)</f>
        <v>544572.01500000048</v>
      </c>
      <c r="G27" s="6">
        <f>'Konstanta a triple'!F27+('Konstanta b triple'!F27*'Peramalan triple'!$P$1)+'Peramalan triple'!$P$2*('Konstanta c triple'!F27*'Peramalan triple'!$P$3)</f>
        <v>101085.99625000087</v>
      </c>
      <c r="H27" s="6">
        <f>'Konstanta a triple'!G27+('Konstanta b triple'!G27*'Peramalan triple'!$P$1)+'Peramalan triple'!$P$2*('Konstanta c triple'!G27*'Peramalan triple'!$P$3)</f>
        <v>345082.28812500008</v>
      </c>
      <c r="I27" s="6">
        <f>'Konstanta a triple'!H27+('Konstanta b triple'!H27*'Peramalan triple'!$P$1)+'Peramalan triple'!$P$2*('Konstanta c triple'!H27*'Peramalan triple'!$P$3)</f>
        <v>529931.53937500087</v>
      </c>
      <c r="J27" s="6">
        <f>'Konstanta a triple'!I27+('Konstanta b triple'!I27*'Peramalan triple'!$P$1)+'Peramalan triple'!$P$2*('Konstanta c triple'!I27*'Peramalan triple'!$P$3)</f>
        <v>604673.42750000022</v>
      </c>
      <c r="K27" s="6">
        <f>'Konstanta a triple'!J27+('Konstanta b triple'!J27*'Peramalan triple'!$P$1)+'Peramalan triple'!$P$2*('Konstanta c triple'!J27*'Peramalan triple'!$P$3)</f>
        <v>576308.98273437528</v>
      </c>
      <c r="L27" s="6">
        <f>'Konstanta a triple'!K27+('Konstanta b triple'!K27*'Peramalan triple'!$P$1)+'Peramalan triple'!$P$2*('Konstanta c triple'!K27*'Peramalan triple'!$P$3)</f>
        <v>559030.33839843818</v>
      </c>
      <c r="M27" s="6">
        <f>'Konstanta a triple'!L27+('Konstanta b triple'!L27*'Peramalan triple'!$P$1)+'Peramalan triple'!$P$2*('Konstanta c triple'!L27*'Peramalan triple'!$P$3)</f>
        <v>469112.02898437559</v>
      </c>
    </row>
    <row r="28" spans="1:13" x14ac:dyDescent="0.3">
      <c r="A28" s="6" t="str">
        <f>'Konstanta c triple'!A28</f>
        <v>Oil A 1000 LT</v>
      </c>
      <c r="B28" s="6">
        <v>0</v>
      </c>
      <c r="C28" s="6">
        <f>'Konstanta a triple'!B28+('Konstanta b triple'!B28*'Peramalan triple'!$P$1)+'Peramalan triple'!$P$2*('Konstanta c triple'!B28*'Peramalan triple'!$P$3)</f>
        <v>23458.300000000014</v>
      </c>
      <c r="D28" s="6">
        <f>'Konstanta a triple'!C28+('Konstanta b triple'!C28*'Peramalan triple'!$P$1)+'Peramalan triple'!$P$2*('Konstanta c triple'!C28*'Peramalan triple'!$P$3)</f>
        <v>51595.749999999971</v>
      </c>
      <c r="E28" s="6">
        <f>'Konstanta a triple'!D28+('Konstanta b triple'!D28*'Peramalan triple'!$P$1)+'Peramalan triple'!$P$2*('Konstanta c triple'!D28*'Peramalan triple'!$P$3)</f>
        <v>31398.699999999983</v>
      </c>
      <c r="F28" s="6">
        <f>'Konstanta a triple'!E28+('Konstanta b triple'!E28*'Peramalan triple'!$P$1)+'Peramalan triple'!$P$2*('Konstanta c triple'!E28*'Peramalan triple'!$P$3)</f>
        <v>42646.625</v>
      </c>
      <c r="G28" s="6">
        <f>'Konstanta a triple'!F28+('Konstanta b triple'!F28*'Peramalan triple'!$P$1)+'Peramalan triple'!$P$2*('Konstanta c triple'!F28*'Peramalan triple'!$P$3)</f>
        <v>19222.668750000023</v>
      </c>
      <c r="H28" s="6">
        <f>'Konstanta a triple'!G28+('Konstanta b triple'!G28*'Peramalan triple'!$P$1)+'Peramalan triple'!$P$2*('Konstanta c triple'!G28*'Peramalan triple'!$P$3)</f>
        <v>67365.409375000017</v>
      </c>
      <c r="I28" s="6">
        <f>'Konstanta a triple'!H28+('Konstanta b triple'!H28*'Peramalan triple'!$P$1)+'Peramalan triple'!$P$2*('Konstanta c triple'!H28*'Peramalan triple'!$P$3)</f>
        <v>109707.86562500002</v>
      </c>
      <c r="J28" s="6">
        <f>'Konstanta a triple'!I28+('Konstanta b triple'!I28*'Peramalan triple'!$P$1)+'Peramalan triple'!$P$2*('Konstanta c triple'!I28*'Peramalan triple'!$P$3)</f>
        <v>59177.58750000006</v>
      </c>
      <c r="K28" s="6">
        <f>'Konstanta a triple'!J28+('Konstanta b triple'!J28*'Peramalan triple'!$P$1)+'Peramalan triple'!$P$2*('Konstanta c triple'!J28*'Peramalan triple'!$P$3)</f>
        <v>-16547.179296874951</v>
      </c>
      <c r="L28" s="6">
        <f>'Konstanta a triple'!K28+('Konstanta b triple'!K28*'Peramalan triple'!$P$1)+'Peramalan triple'!$P$2*('Konstanta c triple'!K28*'Peramalan triple'!$P$3)</f>
        <v>2783.4486328125604</v>
      </c>
      <c r="M28" s="6">
        <f>'Konstanta a triple'!L28+('Konstanta b triple'!L28*'Peramalan triple'!$P$1)+'Peramalan triple'!$P$2*('Konstanta c triple'!L28*'Peramalan triple'!$P$3)</f>
        <v>19646.343359375031</v>
      </c>
    </row>
    <row r="29" spans="1:13" x14ac:dyDescent="0.3">
      <c r="A29" s="6" t="str">
        <f>'Konstanta c triple'!A29</f>
        <v>Oil B 20 LT</v>
      </c>
      <c r="B29" s="6">
        <v>0</v>
      </c>
      <c r="C29" s="6">
        <f>'Konstanta a triple'!B29+('Konstanta b triple'!B29*'Peramalan triple'!$P$1)+'Peramalan triple'!$P$2*('Konstanta c triple'!B29*'Peramalan triple'!$P$3)</f>
        <v>4698.6499999999996</v>
      </c>
      <c r="D29" s="6">
        <f>'Konstanta a triple'!C29+('Konstanta b triple'!C29*'Peramalan triple'!$P$1)+'Peramalan triple'!$P$2*('Konstanta c triple'!C29*'Peramalan triple'!$P$3)</f>
        <v>10618.175000000007</v>
      </c>
      <c r="E29" s="6">
        <f>'Konstanta a triple'!D29+('Konstanta b triple'!D29*'Peramalan triple'!$P$1)+'Peramalan triple'!$P$2*('Konstanta c triple'!D29*'Peramalan triple'!$P$3)</f>
        <v>9634.850000000004</v>
      </c>
      <c r="F29" s="6">
        <f>'Konstanta a triple'!E29+('Konstanta b triple'!E29*'Peramalan triple'!$P$1)+'Peramalan triple'!$P$2*('Konstanta c triple'!E29*'Peramalan triple'!$P$3)</f>
        <v>6479.4275000000052</v>
      </c>
      <c r="G29" s="6">
        <f>'Konstanta a triple'!F29+('Konstanta b triple'!F29*'Peramalan triple'!$P$1)+'Peramalan triple'!$P$2*('Konstanta c triple'!F29*'Peramalan triple'!$P$3)</f>
        <v>64634.43437499999</v>
      </c>
      <c r="H29" s="6">
        <f>'Konstanta a triple'!G29+('Konstanta b triple'!G29*'Peramalan triple'!$P$1)+'Peramalan triple'!$P$2*('Konstanta c triple'!G29*'Peramalan triple'!$P$3)</f>
        <v>6616.982187499978</v>
      </c>
      <c r="I29" s="6">
        <f>'Konstanta a triple'!H29+('Konstanta b triple'!H29*'Peramalan triple'!$P$1)+'Peramalan triple'!$P$2*('Konstanta c triple'!H29*'Peramalan triple'!$P$3)</f>
        <v>-435.25406249999833</v>
      </c>
      <c r="J29" s="6">
        <f>'Konstanta a triple'!I29+('Konstanta b triple'!I29*'Peramalan triple'!$P$1)+'Peramalan triple'!$P$2*('Konstanta c triple'!I29*'Peramalan triple'!$P$3)</f>
        <v>14917.481562500026</v>
      </c>
      <c r="K29" s="6">
        <f>'Konstanta a triple'!J29+('Konstanta b triple'!J29*'Peramalan triple'!$P$1)+'Peramalan triple'!$P$2*('Konstanta c triple'!J29*'Peramalan triple'!$P$3)</f>
        <v>18255.531914062522</v>
      </c>
      <c r="L29" s="6">
        <f>'Konstanta a triple'!K29+('Konstanta b triple'!K29*'Peramalan triple'!$P$1)+'Peramalan triple'!$P$2*('Konstanta c triple'!K29*'Peramalan triple'!$P$3)</f>
        <v>45141.829941406249</v>
      </c>
      <c r="M29" s="6">
        <f>'Konstanta a triple'!L29+('Konstanta b triple'!L29*'Peramalan triple'!$P$1)+'Peramalan triple'!$P$2*('Konstanta c triple'!L29*'Peramalan triple'!$P$3)</f>
        <v>1661.4311718749977</v>
      </c>
    </row>
    <row r="30" spans="1:13" x14ac:dyDescent="0.3">
      <c r="A30" s="6" t="str">
        <f>'Konstanta c triple'!A30</f>
        <v>Oil B 200 LT</v>
      </c>
      <c r="B30" s="6">
        <v>0</v>
      </c>
      <c r="C30" s="6">
        <f>'Konstanta a triple'!B30+('Konstanta b triple'!B30*'Peramalan triple'!$P$1)+'Peramalan triple'!$P$2*('Konstanta c triple'!B30*'Peramalan triple'!$P$3)</f>
        <v>1033.08</v>
      </c>
      <c r="D30" s="6">
        <f>'Konstanta a triple'!C30+('Konstanta b triple'!C30*'Peramalan triple'!$P$1)+'Peramalan triple'!$P$2*('Konstanta c triple'!C30*'Peramalan triple'!$P$3)</f>
        <v>37700.369999999995</v>
      </c>
      <c r="E30" s="6">
        <f>'Konstanta a triple'!D30+('Konstanta b triple'!D30*'Peramalan triple'!$P$1)+'Peramalan triple'!$P$2*('Konstanta c triple'!D30*'Peramalan triple'!$P$3)</f>
        <v>28728.990000000005</v>
      </c>
      <c r="F30" s="6">
        <f>'Konstanta a triple'!E30+('Konstanta b triple'!E30*'Peramalan triple'!$P$1)+'Peramalan triple'!$P$2*('Konstanta c triple'!E30*'Peramalan triple'!$P$3)</f>
        <v>21656.095000000008</v>
      </c>
      <c r="G30" s="6">
        <f>'Konstanta a triple'!F30+('Konstanta b triple'!F30*'Peramalan triple'!$P$1)+'Peramalan triple'!$P$2*('Konstanta c triple'!F30*'Peramalan triple'!$P$3)</f>
        <v>30561.463749999977</v>
      </c>
      <c r="H30" s="6">
        <f>'Konstanta a triple'!G30+('Konstanta b triple'!G30*'Peramalan triple'!$P$1)+'Peramalan triple'!$P$2*('Konstanta c triple'!G30*'Peramalan triple'!$P$3)</f>
        <v>15476.495625000005</v>
      </c>
      <c r="I30" s="6">
        <f>'Konstanta a triple'!H30+('Konstanta b triple'!H30*'Peramalan triple'!$P$1)+'Peramalan triple'!$P$2*('Konstanta c triple'!H30*'Peramalan triple'!$P$3)</f>
        <v>67229.515000000014</v>
      </c>
      <c r="J30" s="6">
        <f>'Konstanta a triple'!I30+('Konstanta b triple'!I30*'Peramalan triple'!$P$1)+'Peramalan triple'!$P$2*('Konstanta c triple'!I30*'Peramalan triple'!$P$3)</f>
        <v>36245.687499999993</v>
      </c>
      <c r="K30" s="6">
        <f>'Konstanta a triple'!J30+('Konstanta b triple'!J30*'Peramalan triple'!$P$1)+'Peramalan triple'!$P$2*('Konstanta c triple'!J30*'Peramalan triple'!$P$3)</f>
        <v>23413.781953125035</v>
      </c>
      <c r="L30" s="6">
        <f>'Konstanta a triple'!K30+('Konstanta b triple'!K30*'Peramalan triple'!$P$1)+'Peramalan triple'!$P$2*('Konstanta c triple'!K30*'Peramalan triple'!$P$3)</f>
        <v>56757.789179687577</v>
      </c>
      <c r="M30" s="6">
        <f>'Konstanta a triple'!L30+('Konstanta b triple'!L30*'Peramalan triple'!$P$1)+'Peramalan triple'!$P$2*('Konstanta c triple'!L30*'Peramalan triple'!$P$3)</f>
        <v>57363.243242187542</v>
      </c>
    </row>
    <row r="31" spans="1:13" x14ac:dyDescent="0.3">
      <c r="A31" s="6">
        <f>'Konstanta c triple'!A31</f>
        <v>0.6</v>
      </c>
      <c r="C31" s="6" t="str">
        <f>'Konstanta c triple'!B31</f>
        <v>T1</v>
      </c>
      <c r="D31" s="6" t="str">
        <f>'Konstanta c triple'!C31</f>
        <v>T2</v>
      </c>
      <c r="E31" s="6" t="str">
        <f>'Konstanta c triple'!D31</f>
        <v>T3</v>
      </c>
      <c r="F31" s="6" t="str">
        <f>'Konstanta c triple'!E31</f>
        <v>T4</v>
      </c>
      <c r="G31" s="6" t="str">
        <f>'Konstanta c triple'!F31</f>
        <v>T5</v>
      </c>
      <c r="H31" s="6" t="str">
        <f>'Konstanta c triple'!G31</f>
        <v>T6</v>
      </c>
      <c r="I31" s="6" t="str">
        <f>'Konstanta c triple'!H31</f>
        <v>T7</v>
      </c>
      <c r="J31" s="6" t="str">
        <f>'Konstanta c triple'!I31</f>
        <v>T8</v>
      </c>
      <c r="K31" s="6" t="str">
        <f>'Konstanta c triple'!J31</f>
        <v>T9</v>
      </c>
      <c r="L31" s="6" t="str">
        <f>'Konstanta c triple'!K31</f>
        <v>T10</v>
      </c>
      <c r="M31" s="6" t="str">
        <f>'Konstanta c triple'!L31</f>
        <v>T11</v>
      </c>
    </row>
    <row r="32" spans="1:13" x14ac:dyDescent="0.3">
      <c r="A32" s="6" t="str">
        <f>'Konstanta c triple'!A32</f>
        <v>Oil A 20 LT</v>
      </c>
      <c r="B32" s="6">
        <v>0</v>
      </c>
      <c r="C32" s="6">
        <f>'Konstanta a triple'!B32+('Konstanta b triple'!B32*'Peramalan triple'!$P$1)+'Peramalan triple'!$P$2*('Konstanta c triple'!B32*'Peramalan triple'!$P$3)</f>
        <v>12588.09</v>
      </c>
      <c r="D32" s="6">
        <f>'Konstanta a triple'!C32+('Konstanta b triple'!C32*'Peramalan triple'!$P$1)+'Peramalan triple'!$P$2*('Konstanta c triple'!C32*'Peramalan triple'!$P$3)</f>
        <v>-27768.319499999994</v>
      </c>
      <c r="E32" s="6">
        <f>'Konstanta a triple'!D32+('Konstanta b triple'!D32*'Peramalan triple'!$P$1)+'Peramalan triple'!$P$2*('Konstanta c triple'!D32*'Peramalan triple'!$P$3)</f>
        <v>44146.52340000002</v>
      </c>
      <c r="F32" s="6">
        <f>'Konstanta a triple'!E32+('Konstanta b triple'!E32*'Peramalan triple'!$P$1)+'Peramalan triple'!$P$2*('Konstanta c triple'!E32*'Peramalan triple'!$P$3)</f>
        <v>16500.418349999982</v>
      </c>
      <c r="G32" s="6">
        <f>'Konstanta a triple'!F32+('Konstanta b triple'!F32*'Peramalan triple'!$P$1)+'Peramalan triple'!$P$2*('Konstanta c triple'!F32*'Peramalan triple'!$P$3)</f>
        <v>-3872.9355150000015</v>
      </c>
      <c r="H32" s="6">
        <f>'Konstanta a triple'!G32+('Konstanta b triple'!G32*'Peramalan triple'!$P$1)+'Peramalan triple'!$P$2*('Konstanta c triple'!G32*'Peramalan triple'!$P$3)</f>
        <v>-14907.43503389999</v>
      </c>
      <c r="I32" s="6">
        <f>'Konstanta a triple'!H32+('Konstanta b triple'!H32*'Peramalan triple'!$P$1)+'Peramalan triple'!$P$2*('Konstanta c triple'!H32*'Peramalan triple'!$P$3)</f>
        <v>34817.575697970016</v>
      </c>
      <c r="J32" s="6">
        <f>'Konstanta a triple'!I32+('Konstanta b triple'!I32*'Peramalan triple'!$P$1)+'Peramalan triple'!$P$2*('Konstanta c triple'!I32*'Peramalan triple'!$P$3)</f>
        <v>13812.482962220982</v>
      </c>
      <c r="K32" s="6">
        <f>'Konstanta a triple'!J32+('Konstanta b triple'!J32*'Peramalan triple'!$P$1)+'Peramalan triple'!$P$2*('Konstanta c triple'!J32*'Peramalan triple'!$P$3)</f>
        <v>5496.7308266804612</v>
      </c>
      <c r="L32" s="6">
        <f>'Konstanta a triple'!K32+('Konstanta b triple'!K32*'Peramalan triple'!$P$1)+'Peramalan triple'!$P$2*('Konstanta c triple'!K32*'Peramalan triple'!$P$3)</f>
        <v>-9928.6958708899911</v>
      </c>
      <c r="M32" s="6">
        <f>'Konstanta a triple'!L32+('Konstanta b triple'!L32*'Peramalan triple'!$P$1)+'Peramalan triple'!$P$2*('Konstanta c triple'!L32*'Peramalan triple'!$P$3)</f>
        <v>36228.541688568039</v>
      </c>
    </row>
    <row r="33" spans="1:13" x14ac:dyDescent="0.3">
      <c r="A33" s="6" t="str">
        <f>'Konstanta c triple'!A33</f>
        <v>Oil A 200 LT</v>
      </c>
      <c r="B33" s="6">
        <v>0</v>
      </c>
      <c r="C33" s="6">
        <f>'Konstanta a triple'!B33+('Konstanta b triple'!B33*'Peramalan triple'!$P$1)+'Peramalan triple'!$P$2*('Konstanta c triple'!B33*'Peramalan triple'!$P$3)</f>
        <v>459915.7799999998</v>
      </c>
      <c r="D33" s="6">
        <f>'Konstanta a triple'!C33+('Konstanta b triple'!C33*'Peramalan triple'!$P$1)+'Peramalan triple'!$P$2*('Konstanta c triple'!C33*'Peramalan triple'!$P$3)</f>
        <v>135469.05149999954</v>
      </c>
      <c r="E33" s="6">
        <f>'Konstanta a triple'!D33+('Konstanta b triple'!D33*'Peramalan triple'!$P$1)+'Peramalan triple'!$P$2*('Konstanta c triple'!D33*'Peramalan triple'!$P$3)</f>
        <v>-3170.6785500005062</v>
      </c>
      <c r="F33" s="6">
        <f>'Konstanta a triple'!E33+('Konstanta b triple'!E33*'Peramalan triple'!$P$1)+'Peramalan triple'!$P$2*('Konstanta c triple'!E33*'Peramalan triple'!$P$3)</f>
        <v>576189.18142499984</v>
      </c>
      <c r="G33" s="6">
        <f>'Konstanta a triple'!F33+('Konstanta b triple'!F33*'Peramalan triple'!$P$1)+'Peramalan triple'!$P$2*('Konstanta c triple'!F33*'Peramalan triple'!$P$3)</f>
        <v>-803131.73715749953</v>
      </c>
      <c r="H33" s="6">
        <f>'Konstanta a triple'!G33+('Konstanta b triple'!G33*'Peramalan triple'!$P$1)+'Peramalan triple'!$P$2*('Konstanta c triple'!G33*'Peramalan triple'!$P$3)</f>
        <v>-306657.96803295007</v>
      </c>
      <c r="I33" s="6">
        <f>'Konstanta a triple'!H33+('Konstanta b triple'!H33*'Peramalan triple'!$P$1)+'Peramalan triple'!$P$2*('Konstanta c triple'!H33*'Peramalan triple'!$P$3)</f>
        <v>349805.19864778541</v>
      </c>
      <c r="J33" s="6">
        <f>'Konstanta a triple'!I33+('Konstanta b triple'!I33*'Peramalan triple'!$P$1)+'Peramalan triple'!$P$2*('Konstanta c triple'!I33*'Peramalan triple'!$P$3)</f>
        <v>836494.2041195503</v>
      </c>
      <c r="K33" s="6">
        <f>'Konstanta a triple'!J33+('Konstanta b triple'!J33*'Peramalan triple'!$P$1)+'Peramalan triple'!$P$2*('Konstanta c triple'!J33*'Peramalan triple'!$P$3)</f>
        <v>993362.77917644021</v>
      </c>
      <c r="L33" s="6">
        <f>'Konstanta a triple'!K33+('Konstanta b triple'!K33*'Peramalan triple'!$P$1)+'Peramalan triple'!$P$2*('Konstanta c triple'!K33*'Peramalan triple'!$P$3)</f>
        <v>1083653.551240023</v>
      </c>
      <c r="M33" s="6">
        <f>'Konstanta a triple'!L33+('Konstanta b triple'!L33*'Peramalan triple'!$P$1)+'Peramalan triple'!$P$2*('Konstanta c triple'!L33*'Peramalan triple'!$P$3)</f>
        <v>848061.32332598954</v>
      </c>
    </row>
    <row r="34" spans="1:13" x14ac:dyDescent="0.3">
      <c r="A34" s="6" t="str">
        <f>'Konstanta c triple'!A34</f>
        <v>Oil A 1000 LT</v>
      </c>
      <c r="B34" s="6">
        <v>0</v>
      </c>
      <c r="C34" s="6">
        <f>'Konstanta a triple'!B34+('Konstanta b triple'!B34*'Peramalan triple'!$P$1)+'Peramalan triple'!$P$2*('Konstanta c triple'!B34*'Peramalan triple'!$P$3)</f>
        <v>23458.299999999985</v>
      </c>
      <c r="D34" s="6">
        <f>'Konstanta a triple'!C34+('Konstanta b triple'!C34*'Peramalan triple'!$P$1)+'Peramalan triple'!$P$2*('Konstanta c triple'!C34*'Peramalan triple'!$P$3)</f>
        <v>120532.5025</v>
      </c>
      <c r="E34" s="6">
        <f>'Konstanta a triple'!D34+('Konstanta b triple'!D34*'Peramalan triple'!$P$1)+'Peramalan triple'!$P$2*('Konstanta c triple'!D34*'Peramalan triple'!$P$3)</f>
        <v>79974.940749999994</v>
      </c>
      <c r="F34" s="6">
        <f>'Konstanta a triple'!E34+('Konstanta b triple'!E34*'Peramalan triple'!$P$1)+'Peramalan triple'!$P$2*('Konstanta c triple'!E34*'Peramalan triple'!$P$3)</f>
        <v>117642.89387499995</v>
      </c>
      <c r="G34" s="6">
        <f>'Konstanta a triple'!F34+('Konstanta b triple'!F34*'Peramalan triple'!$P$1)+'Peramalan triple'!$P$2*('Konstanta c triple'!F34*'Peramalan triple'!$P$3)</f>
        <v>45721.292987499983</v>
      </c>
      <c r="H34" s="6">
        <f>'Konstanta a triple'!G34+('Konstanta b triple'!G34*'Peramalan triple'!$P$1)+'Peramalan triple'!$P$2*('Konstanta c triple'!G34*'Peramalan triple'!$P$3)</f>
        <v>191864.75983675002</v>
      </c>
      <c r="I34" s="6">
        <f>'Konstanta a triple'!H34+('Konstanta b triple'!H34*'Peramalan triple'!$P$1)+'Peramalan triple'!$P$2*('Konstanta c triple'!H34*'Peramalan triple'!$P$3)</f>
        <v>371929.44221147487</v>
      </c>
      <c r="J34" s="6">
        <f>'Konstanta a triple'!I34+('Konstanta b triple'!I34*'Peramalan triple'!$P$1)+'Peramalan triple'!$P$2*('Konstanta c triple'!I34*'Peramalan triple'!$P$3)</f>
        <v>263574.63919336745</v>
      </c>
      <c r="K34" s="6">
        <f>'Konstanta a triple'!J34+('Konstanta b triple'!J34*'Peramalan triple'!$P$1)+'Peramalan triple'!$P$2*('Konstanta c triple'!J34*'Peramalan triple'!$P$3)</f>
        <v>-8564.6534008811868</v>
      </c>
      <c r="L34" s="6">
        <f>'Konstanta a triple'!K34+('Konstanta b triple'!K34*'Peramalan triple'!$P$1)+'Peramalan triple'!$P$2*('Konstanta c triple'!K34*'Peramalan triple'!$P$3)</f>
        <v>-35410.391893209082</v>
      </c>
      <c r="M34" s="6">
        <f>'Konstanta a triple'!L34+('Konstanta b triple'!L34*'Peramalan triple'!$P$1)+'Peramalan triple'!$P$2*('Konstanta c triple'!L34*'Peramalan triple'!$P$3)</f>
        <v>-27417.056181835018</v>
      </c>
    </row>
    <row r="35" spans="1:13" x14ac:dyDescent="0.3">
      <c r="A35" s="6" t="str">
        <f>'Konstanta c triple'!A35</f>
        <v>Oil B 20 LT</v>
      </c>
      <c r="B35" s="6">
        <v>0</v>
      </c>
      <c r="C35" s="6">
        <f>'Konstanta a triple'!B35+('Konstanta b triple'!B35*'Peramalan triple'!$P$1)+'Peramalan triple'!$P$2*('Konstanta c triple'!B35*'Peramalan triple'!$P$3)</f>
        <v>4698.6499999999996</v>
      </c>
      <c r="D35" s="6">
        <f>'Konstanta a triple'!C35+('Konstanta b triple'!C35*'Peramalan triple'!$P$1)+'Peramalan triple'!$P$2*('Konstanta c triple'!C35*'Peramalan triple'!$P$3)</f>
        <v>25121.011249999989</v>
      </c>
      <c r="E35" s="6">
        <f>'Konstanta a triple'!D35+('Konstanta b triple'!D35*'Peramalan triple'!$P$1)+'Peramalan triple'!$P$2*('Konstanta c triple'!D35*'Peramalan triple'!$P$3)</f>
        <v>27855.248375000006</v>
      </c>
      <c r="F35" s="6">
        <f>'Konstanta a triple'!E35+('Konstanta b triple'!E35*'Peramalan triple'!$P$1)+'Peramalan triple'!$P$2*('Konstanta c triple'!E35*'Peramalan triple'!$P$3)</f>
        <v>20109.765687500014</v>
      </c>
      <c r="G35" s="6">
        <f>'Konstanta a triple'!F35+('Konstanta b triple'!F35*'Peramalan triple'!$P$1)+'Peramalan triple'!$P$2*('Konstanta c triple'!F35*'Peramalan triple'!$P$3)</f>
        <v>219194.17821874996</v>
      </c>
      <c r="H35" s="6">
        <f>'Konstanta a triple'!G35+('Konstanta b triple'!G35*'Peramalan triple'!$P$1)+'Peramalan triple'!$P$2*('Konstanta c triple'!G35*'Peramalan triple'!$P$3)</f>
        <v>77576.418792874974</v>
      </c>
      <c r="I35" s="6">
        <f>'Konstanta a triple'!H35+('Konstanta b triple'!H35*'Peramalan triple'!$P$1)+'Peramalan triple'!$P$2*('Konstanta c triple'!H35*'Peramalan triple'!$P$3)</f>
        <v>32470.206324387498</v>
      </c>
      <c r="J35" s="6">
        <f>'Konstanta a triple'!I35+('Konstanta b triple'!I35*'Peramalan triple'!$P$1)+'Peramalan triple'!$P$2*('Konstanta c triple'!I35*'Peramalan triple'!$P$3)</f>
        <v>59589.255047228748</v>
      </c>
      <c r="K35" s="6">
        <f>'Konstanta a triple'!J35+('Konstanta b triple'!J35*'Peramalan triple'!$P$1)+'Peramalan triple'!$P$2*('Konstanta c triple'!J35*'Peramalan triple'!$P$3)</f>
        <v>66725.733581001856</v>
      </c>
      <c r="L35" s="6">
        <f>'Konstanta a triple'!K35+('Konstanta b triple'!K35*'Peramalan triple'!$P$1)+'Peramalan triple'!$P$2*('Konstanta c triple'!K35*'Peramalan triple'!$P$3)</f>
        <v>158953.44635685359</v>
      </c>
      <c r="M35" s="6">
        <f>'Konstanta a triple'!L35+('Konstanta b triple'!L35*'Peramalan triple'!$P$1)+'Peramalan triple'!$P$2*('Konstanta c triple'!L35*'Peramalan triple'!$P$3)</f>
        <v>35470.448982170543</v>
      </c>
    </row>
    <row r="36" spans="1:13" x14ac:dyDescent="0.3">
      <c r="A36" s="6" t="str">
        <f>'Konstanta c triple'!A36</f>
        <v>Oil B 200 LT</v>
      </c>
      <c r="B36" s="6">
        <v>0</v>
      </c>
      <c r="C36" s="6">
        <f>'Konstanta a triple'!B36+('Konstanta b triple'!B36*'Peramalan triple'!$P$1)+'Peramalan triple'!$P$2*('Konstanta c triple'!B36*'Peramalan triple'!$P$3)</f>
        <v>1033.08</v>
      </c>
      <c r="D36" s="6">
        <f>'Konstanta a triple'!C36+('Konstanta b triple'!C36*'Peramalan triple'!$P$1)+'Peramalan triple'!$P$2*('Konstanta c triple'!C36*'Peramalan triple'!$P$3)</f>
        <v>127535.23049999999</v>
      </c>
      <c r="E36" s="6">
        <f>'Konstanta a triple'!D36+('Konstanta b triple'!D36*'Peramalan triple'!$P$1)+'Peramalan triple'!$P$2*('Konstanta c triple'!D36*'Peramalan triple'!$P$3)</f>
        <v>134534.61464999997</v>
      </c>
      <c r="F36" s="6">
        <f>'Konstanta a triple'!E36+('Konstanta b triple'!E36*'Peramalan triple'!$P$1)+'Peramalan triple'!$P$2*('Konstanta c triple'!E36*'Peramalan triple'!$P$3)</f>
        <v>126606.51982499995</v>
      </c>
      <c r="G36" s="6">
        <f>'Konstanta a triple'!F36+('Konstanta b triple'!F36*'Peramalan triple'!$P$1)+'Peramalan triple'!$P$2*('Konstanta c triple'!F36*'Peramalan triple'!$P$3)</f>
        <v>158612.45462249996</v>
      </c>
      <c r="H36" s="6">
        <f>'Konstanta a triple'!G36+('Konstanta b triple'!G36*'Peramalan triple'!$P$1)+'Peramalan triple'!$P$2*('Konstanta c triple'!G36*'Peramalan triple'!$P$3)</f>
        <v>113169.50407184997</v>
      </c>
      <c r="I36" s="6">
        <f>'Konstanta a triple'!H36+('Konstanta b triple'!H36*'Peramalan triple'!$P$1)+'Peramalan triple'!$P$2*('Konstanta c triple'!H36*'Peramalan triple'!$P$3)</f>
        <v>277161.13625914487</v>
      </c>
      <c r="J36" s="6">
        <f>'Konstanta a triple'!I36+('Konstanta b triple'!I36*'Peramalan triple'!$P$1)+'Peramalan triple'!$P$2*('Konstanta c triple'!I36*'Peramalan triple'!$P$3)</f>
        <v>210094.35196295843</v>
      </c>
      <c r="K36" s="6">
        <f>'Konstanta a triple'!J36+('Konstanta b triple'!J36*'Peramalan triple'!$P$1)+'Peramalan triple'!$P$2*('Konstanta c triple'!J36*'Peramalan triple'!$P$3)</f>
        <v>157886.6817553282</v>
      </c>
      <c r="L36" s="6">
        <f>'Konstanta a triple'!K36+('Konstanta b triple'!K36*'Peramalan triple'!$P$1)+'Peramalan triple'!$P$2*('Konstanta c triple'!K36*'Peramalan triple'!$P$3)</f>
        <v>248453.52793797138</v>
      </c>
      <c r="M36" s="6">
        <f>'Konstanta a triple'!L36+('Konstanta b triple'!L36*'Peramalan triple'!$P$1)+'Peramalan triple'!$P$2*('Konstanta c triple'!L36*'Peramalan triple'!$P$3)</f>
        <v>263216.9563325285</v>
      </c>
    </row>
    <row r="37" spans="1:13" x14ac:dyDescent="0.3">
      <c r="A37" s="6">
        <f>'Konstanta c triple'!A37</f>
        <v>0.7</v>
      </c>
      <c r="C37" s="6" t="str">
        <f>'Konstanta c triple'!B37</f>
        <v>T1</v>
      </c>
      <c r="D37" s="6" t="str">
        <f>'Konstanta c triple'!C37</f>
        <v>T2</v>
      </c>
      <c r="E37" s="6" t="str">
        <f>'Konstanta c triple'!D37</f>
        <v>T3</v>
      </c>
      <c r="F37" s="6" t="str">
        <f>'Konstanta c triple'!E37</f>
        <v>T4</v>
      </c>
      <c r="G37" s="6" t="str">
        <f>'Konstanta c triple'!F37</f>
        <v>T5</v>
      </c>
      <c r="H37" s="6" t="str">
        <f>'Konstanta c triple'!G37</f>
        <v>T6</v>
      </c>
      <c r="I37" s="6" t="str">
        <f>'Konstanta c triple'!H37</f>
        <v>T7</v>
      </c>
      <c r="J37" s="6" t="str">
        <f>'Konstanta c triple'!I37</f>
        <v>T8</v>
      </c>
      <c r="K37" s="6" t="str">
        <f>'Konstanta c triple'!J37</f>
        <v>T9</v>
      </c>
      <c r="L37" s="6" t="str">
        <f>'Konstanta c triple'!K37</f>
        <v>T10</v>
      </c>
      <c r="M37" s="6" t="str">
        <f>'Konstanta c triple'!L37</f>
        <v>T11</v>
      </c>
    </row>
    <row r="38" spans="1:13" x14ac:dyDescent="0.3">
      <c r="A38" s="6" t="str">
        <f>'Konstanta c triple'!A38</f>
        <v>Oil A 20 LT</v>
      </c>
      <c r="B38" s="6">
        <v>0</v>
      </c>
      <c r="C38" s="6">
        <f>'Konstanta a triple'!B38+('Konstanta b triple'!B38*'Peramalan triple'!$P$1)+'Peramalan triple'!$P$2*('Konstanta c triple'!B38*'Peramalan triple'!$P$3)</f>
        <v>12588.09</v>
      </c>
      <c r="D38" s="6">
        <f>'Konstanta a triple'!C38+('Konstanta b triple'!C38*'Peramalan triple'!$P$1)+'Peramalan triple'!$P$2*('Konstanta c triple'!C38*'Peramalan triple'!$P$3)</f>
        <v>-62016.029333333339</v>
      </c>
      <c r="E38" s="6">
        <f>'Konstanta a triple'!D38+('Konstanta b triple'!D38*'Peramalan triple'!$P$1)+'Peramalan triple'!$P$2*('Konstanta c triple'!D38*'Peramalan triple'!$P$3)</f>
        <v>78388.407800000015</v>
      </c>
      <c r="F38" s="6">
        <f>'Konstanta a triple'!E38+('Konstanta b triple'!E38*'Peramalan triple'!$P$1)+'Peramalan triple'!$P$2*('Konstanta c triple'!E38*'Peramalan triple'!$P$3)</f>
        <v>16361.541919999987</v>
      </c>
      <c r="G38" s="6">
        <f>'Konstanta a triple'!F38+('Konstanta b triple'!F38*'Peramalan triple'!$P$1)+'Peramalan triple'!$P$2*('Konstanta c triple'!F38*'Peramalan triple'!$P$3)</f>
        <v>-19535.171683333385</v>
      </c>
      <c r="H38" s="6">
        <f>'Konstanta a triple'!G38+('Konstanta b triple'!G38*'Peramalan triple'!$P$1)+'Peramalan triple'!$P$2*('Konstanta c triple'!G38*'Peramalan triple'!$P$3)</f>
        <v>-35670.417339466701</v>
      </c>
      <c r="I38" s="6">
        <f>'Konstanta a triple'!H38+('Konstanta b triple'!H38*'Peramalan triple'!$P$1)+'Peramalan triple'!$P$2*('Konstanta c triple'!H38*'Peramalan triple'!$P$3)</f>
        <v>59617.448053486616</v>
      </c>
      <c r="J38" s="6">
        <f>'Konstanta a triple'!I38+('Konstanta b triple'!I38*'Peramalan triple'!$P$1)+'Peramalan triple'!$P$2*('Konstanta c triple'!I38*'Peramalan triple'!$P$3)</f>
        <v>12709.332604410643</v>
      </c>
      <c r="K38" s="6">
        <f>'Konstanta a triple'!J38+('Konstanta b triple'!J38*'Peramalan triple'!$P$1)+'Peramalan triple'!$P$2*('Konstanta c triple'!J38*'Peramalan triple'!$P$3)</f>
        <v>-1249.9031715774377</v>
      </c>
      <c r="L38" s="6">
        <f>'Konstanta a triple'!K38+('Konstanta b triple'!K38*'Peramalan triple'!$P$1)+'Peramalan triple'!$P$2*('Konstanta c triple'!K38*'Peramalan triple'!$P$3)</f>
        <v>-27822.350919145771</v>
      </c>
      <c r="M38" s="6">
        <f>'Konstanta a triple'!L38+('Konstanta b triple'!L38*'Peramalan triple'!$P$1)+'Peramalan triple'!$P$2*('Konstanta c triple'!L38*'Peramalan triple'!$P$3)</f>
        <v>60957.638210332385</v>
      </c>
    </row>
    <row r="39" spans="1:13" x14ac:dyDescent="0.3">
      <c r="A39" s="6" t="str">
        <f>'Konstanta c triple'!A39</f>
        <v>Oil A 200 LT</v>
      </c>
      <c r="B39" s="6">
        <v>0</v>
      </c>
      <c r="C39" s="6">
        <f>'Konstanta a triple'!B39+('Konstanta b triple'!B39*'Peramalan triple'!$P$1)+'Peramalan triple'!$P$2*('Konstanta c triple'!B39*'Peramalan triple'!$P$3)</f>
        <v>459915.78000000049</v>
      </c>
      <c r="D39" s="6">
        <f>'Konstanta a triple'!C39+('Konstanta b triple'!C39*'Peramalan triple'!$P$1)+'Peramalan triple'!$P$2*('Konstanta c triple'!C39*'Peramalan triple'!$P$3)</f>
        <v>-139866.57799999954</v>
      </c>
      <c r="E39" s="6">
        <f>'Konstanta a triple'!D39+('Konstanta b triple'!D39*'Peramalan triple'!$P$1)+'Peramalan triple'!$P$2*('Konstanta c triple'!D39*'Peramalan triple'!$P$3)</f>
        <v>-336182.0782666672</v>
      </c>
      <c r="F39" s="6">
        <f>'Konstanta a triple'!E39+('Konstanta b triple'!E39*'Peramalan triple'!$P$1)+'Peramalan triple'!$P$2*('Konstanta c triple'!E39*'Peramalan triple'!$P$3)</f>
        <v>779563.84542666655</v>
      </c>
      <c r="G39" s="6">
        <f>'Konstanta a triple'!F39+('Konstanta b triple'!F39*'Peramalan triple'!$P$1)+'Peramalan triple'!$P$2*('Konstanta c triple'!F39*'Peramalan triple'!$P$3)</f>
        <v>-1862099.4744166655</v>
      </c>
      <c r="H39" s="6">
        <f>'Konstanta a triple'!G39+('Konstanta b triple'!G39*'Peramalan triple'!$P$1)+'Peramalan triple'!$P$2*('Konstanta c triple'!G39*'Peramalan triple'!$P$3)</f>
        <v>-716730.60461673338</v>
      </c>
      <c r="I39" s="6">
        <f>'Konstanta a triple'!H39+('Konstanta b triple'!H39*'Peramalan triple'!$P$1)+'Peramalan triple'!$P$2*('Konstanta c triple'!H39*'Peramalan triple'!$P$3)</f>
        <v>477628.48012362624</v>
      </c>
      <c r="J39" s="6">
        <f>'Konstanta a triple'!I39+('Konstanta b triple'!I39*'Peramalan triple'!$P$1)+'Peramalan triple'!$P$2*('Konstanta c triple'!I39*'Peramalan triple'!$P$3)</f>
        <v>1254000.7049328985</v>
      </c>
      <c r="K39" s="6">
        <f>'Konstanta a triple'!J39+('Konstanta b triple'!J39*'Peramalan triple'!$P$1)+'Peramalan triple'!$P$2*('Konstanta c triple'!J39*'Peramalan triple'!$P$3)</f>
        <v>1418419.5540008396</v>
      </c>
      <c r="L39" s="6">
        <f>'Konstanta a triple'!K39+('Konstanta b triple'!K39*'Peramalan triple'!$P$1)+'Peramalan triple'!$P$2*('Konstanta c triple'!K39*'Peramalan triple'!$P$3)</f>
        <v>1517713.0241235488</v>
      </c>
      <c r="M39" s="6">
        <f>'Konstanta a triple'!L39+('Konstanta b triple'!L39*'Peramalan triple'!$P$1)+'Peramalan triple'!$P$2*('Konstanta c triple'!L39*'Peramalan triple'!$P$3)</f>
        <v>1043046.7411976908</v>
      </c>
    </row>
    <row r="40" spans="1:13" x14ac:dyDescent="0.3">
      <c r="A40" s="6" t="str">
        <f>'Konstanta c triple'!A40</f>
        <v>Oil A 1000 LT</v>
      </c>
      <c r="B40" s="6">
        <v>0</v>
      </c>
      <c r="C40" s="6">
        <f>'Konstanta a triple'!B40+('Konstanta b triple'!B40*'Peramalan triple'!$P$1)+'Peramalan triple'!$P$2*('Konstanta c triple'!B40*'Peramalan triple'!$P$3)</f>
        <v>23458.3</v>
      </c>
      <c r="D40" s="6">
        <f>'Konstanta a triple'!C40+('Konstanta b triple'!C40*'Peramalan triple'!$P$1)+'Peramalan triple'!$P$2*('Konstanta c triple'!C40*'Peramalan triple'!$P$3)</f>
        <v>202912.70333333319</v>
      </c>
      <c r="E40" s="6">
        <f>'Konstanta a triple'!D40+('Konstanta b triple'!D40*'Peramalan triple'!$P$1)+'Peramalan triple'!$P$2*('Konstanta c triple'!D40*'Peramalan triple'!$P$3)</f>
        <v>109991.28733333337</v>
      </c>
      <c r="F40" s="6">
        <f>'Konstanta a triple'!E40+('Konstanta b triple'!E40*'Peramalan triple'!$P$1)+'Peramalan triple'!$P$2*('Konstanta c triple'!E40*'Peramalan triple'!$P$3)</f>
        <v>181410.18593333339</v>
      </c>
      <c r="G40" s="6">
        <f>'Konstanta a triple'!F40+('Konstanta b triple'!F40*'Peramalan triple'!$P$1)+'Peramalan triple'!$P$2*('Konstanta c triple'!F40*'Peramalan triple'!$P$3)</f>
        <v>41742.086616666769</v>
      </c>
      <c r="H40" s="6">
        <f>'Konstanta a triple'!G40+('Konstanta b triple'!G40*'Peramalan triple'!$P$1)+'Peramalan triple'!$P$2*('Konstanta c triple'!G40*'Peramalan triple'!$P$3)</f>
        <v>322791.42282766668</v>
      </c>
      <c r="I40" s="6">
        <f>'Konstanta a triple'!H40+('Konstanta b triple'!H40*'Peramalan triple'!$P$1)+'Peramalan triple'!$P$2*('Konstanta c triple'!H40*'Peramalan triple'!$P$3)</f>
        <v>631729.43880026648</v>
      </c>
      <c r="J40" s="6">
        <f>'Konstanta a triple'!I40+('Konstanta b triple'!I40*'Peramalan triple'!$P$1)+'Peramalan triple'!$P$2*('Konstanta c triple'!I40*'Peramalan triple'!$P$3)</f>
        <v>390336.32293491997</v>
      </c>
      <c r="K40" s="6">
        <f>'Konstanta a triple'!J40+('Konstanta b triple'!J40*'Peramalan triple'!$P$1)+'Peramalan triple'!$P$2*('Konstanta c triple'!J40*'Peramalan triple'!$P$3)</f>
        <v>-106389.44349274694</v>
      </c>
      <c r="L40" s="6">
        <f>'Konstanta a triple'!K40+('Konstanta b triple'!K40*'Peramalan triple'!$P$1)+'Peramalan triple'!$P$2*('Konstanta c triple'!K40*'Peramalan triple'!$P$3)</f>
        <v>-104980.67167863184</v>
      </c>
      <c r="M40" s="6">
        <f>'Konstanta a triple'!L40+('Konstanta b triple'!L40*'Peramalan triple'!$P$1)+'Peramalan triple'!$P$2*('Konstanta c triple'!L40*'Peramalan triple'!$P$3)</f>
        <v>-70134.817126455338</v>
      </c>
    </row>
    <row r="41" spans="1:13" x14ac:dyDescent="0.3">
      <c r="A41" s="6" t="str">
        <f>'Konstanta c triple'!A41</f>
        <v>Oil B 20 LT</v>
      </c>
      <c r="B41" s="6">
        <v>0</v>
      </c>
      <c r="C41" s="6">
        <f>'Konstanta a triple'!B41+('Konstanta b triple'!B41*'Peramalan triple'!$P$1)+'Peramalan triple'!$P$2*('Konstanta c triple'!B41*'Peramalan triple'!$P$3)</f>
        <v>4698.6499999999996</v>
      </c>
      <c r="D41" s="6">
        <f>'Konstanta a triple'!C41+('Konstanta b triple'!C41*'Peramalan triple'!$P$1)+'Peramalan triple'!$P$2*('Konstanta c triple'!C41*'Peramalan triple'!$P$3)</f>
        <v>42452.065000000024</v>
      </c>
      <c r="E41" s="6">
        <f>'Konstanta a triple'!D41+('Konstanta b triple'!D41*'Peramalan triple'!$P$1)+'Peramalan triple'!$P$2*('Konstanta c triple'!D41*'Peramalan triple'!$P$3)</f>
        <v>43731.31966666667</v>
      </c>
      <c r="F41" s="6">
        <f>'Konstanta a triple'!E41+('Konstanta b triple'!E41*'Peramalan triple'!$P$1)+'Peramalan triple'!$P$2*('Konstanta c triple'!E41*'Peramalan triple'!$P$3)</f>
        <v>27705.455033333335</v>
      </c>
      <c r="G41" s="6">
        <f>'Konstanta a triple'!F41+('Konstanta b triple'!F41*'Peramalan triple'!$P$1)+'Peramalan triple'!$P$2*('Konstanta c triple'!F41*'Peramalan triple'!$P$3)</f>
        <v>396560.90510833333</v>
      </c>
      <c r="H41" s="6">
        <f>'Konstanta a triple'!G41+('Konstanta b triple'!G41*'Peramalan triple'!$P$1)+'Peramalan triple'!$P$2*('Konstanta c triple'!G41*'Peramalan triple'!$P$3)</f>
        <v>98125.548857833346</v>
      </c>
      <c r="I41" s="6">
        <f>'Konstanta a triple'!H41+('Konstanta b triple'!H41*'Peramalan triple'!$P$1)+'Peramalan triple'!$P$2*('Konstanta c triple'!H41*'Peramalan triple'!$P$3)</f>
        <v>29180.789592866666</v>
      </c>
      <c r="J41" s="6">
        <f>'Konstanta a triple'!I41+('Konstanta b triple'!I41*'Peramalan triple'!$P$1)+'Peramalan triple'!$P$2*('Konstanta c triple'!I41*'Peramalan triple'!$P$3)</f>
        <v>91529.510602639988</v>
      </c>
      <c r="K41" s="6">
        <f>'Konstanta a triple'!J41+('Konstanta b triple'!J41*'Peramalan triple'!$P$1)+'Peramalan triple'!$P$2*('Konstanta c triple'!J41*'Peramalan triple'!$P$3)</f>
        <v>103155.24340793848</v>
      </c>
      <c r="L41" s="6">
        <f>'Konstanta a triple'!K41+('Konstanta b triple'!K41*'Peramalan triple'!$P$1)+'Peramalan triple'!$P$2*('Konstanta c triple'!K41*'Peramalan triple'!$P$3)</f>
        <v>271622.07672260003</v>
      </c>
      <c r="M41" s="6">
        <f>'Konstanta a triple'!L41+('Konstanta b triple'!L41*'Peramalan triple'!$P$1)+'Peramalan triple'!$P$2*('Konstanta c triple'!L41*'Peramalan triple'!$P$3)</f>
        <v>25424.382762379391</v>
      </c>
    </row>
    <row r="42" spans="1:13" x14ac:dyDescent="0.3">
      <c r="A42" s="6" t="str">
        <f>'Konstanta c triple'!A42</f>
        <v>Oil B 200 LT</v>
      </c>
      <c r="B42" s="6">
        <v>0</v>
      </c>
      <c r="C42" s="6">
        <f>'Konstanta a triple'!B42+('Konstanta b triple'!B42*'Peramalan triple'!$P$1)+'Peramalan triple'!$P$2*('Konstanta c triple'!B42*'Peramalan triple'!$P$3)</f>
        <v>1033.0800000000017</v>
      </c>
      <c r="D42" s="6">
        <f>'Konstanta a triple'!C42+('Konstanta b triple'!C42*'Peramalan triple'!$P$1)+'Peramalan triple'!$P$2*('Konstanta c triple'!C42*'Peramalan triple'!$P$3)</f>
        <v>234888.90733333328</v>
      </c>
      <c r="E42" s="6">
        <f>'Konstanta a triple'!D42+('Konstanta b triple'!D42*'Peramalan triple'!$P$1)+'Peramalan triple'!$P$2*('Konstanta c triple'!D42*'Peramalan triple'!$P$3)</f>
        <v>224442.60479999997</v>
      </c>
      <c r="F42" s="6">
        <f>'Konstanta a triple'!E42+('Konstanta b triple'!E42*'Peramalan triple'!$P$1)+'Peramalan triple'!$P$2*('Konstanta c triple'!E42*'Peramalan triple'!$P$3)</f>
        <v>201047.8531866667</v>
      </c>
      <c r="G42" s="6">
        <f>'Konstanta a triple'!F42+('Konstanta b triple'!F42*'Peramalan triple'!$P$1)+'Peramalan triple'!$P$2*('Konstanta c triple'!F42*'Peramalan triple'!$P$3)</f>
        <v>258486.50529666664</v>
      </c>
      <c r="H42" s="6">
        <f>'Konstanta a triple'!G42+('Konstanta b triple'!G42*'Peramalan triple'!$P$1)+'Peramalan triple'!$P$2*('Konstanta c triple'!G42*'Peramalan triple'!$P$3)</f>
        <v>167458.74252620002</v>
      </c>
      <c r="I42" s="6">
        <f>'Konstanta a triple'!H42+('Konstanta b triple'!H42*'Peramalan triple'!$P$1)+'Peramalan triple'!$P$2*('Konstanta c triple'!H42*'Peramalan triple'!$P$3)</f>
        <v>476219.50799385319</v>
      </c>
      <c r="J42" s="6">
        <f>'Konstanta a triple'!I42+('Konstanta b triple'!I42*'Peramalan triple'!$P$1)+'Peramalan triple'!$P$2*('Konstanta c triple'!I42*'Peramalan triple'!$P$3)</f>
        <v>323036.47550497059</v>
      </c>
      <c r="K42" s="6">
        <f>'Konstanta a triple'!J42+('Konstanta b triple'!J42*'Peramalan triple'!$P$1)+'Peramalan triple'!$P$2*('Konstanta c triple'!J42*'Peramalan triple'!$P$3)</f>
        <v>229080.6270592839</v>
      </c>
      <c r="L42" s="6">
        <f>'Konstanta a triple'!K42+('Konstanta b triple'!K42*'Peramalan triple'!$P$1)+'Peramalan triple'!$P$2*('Konstanta c triple'!K42*'Peramalan triple'!$P$3)</f>
        <v>405931.81844162976</v>
      </c>
      <c r="M42" s="6">
        <f>'Konstanta a triple'!L42+('Konstanta b triple'!L42*'Peramalan triple'!$P$1)+'Peramalan triple'!$P$2*('Konstanta c triple'!L42*'Peramalan triple'!$P$3)</f>
        <v>418524.83213099849</v>
      </c>
    </row>
    <row r="43" spans="1:13" x14ac:dyDescent="0.3">
      <c r="A43" s="6">
        <f>'Konstanta c triple'!A43</f>
        <v>0.79999999999999993</v>
      </c>
      <c r="C43" s="6" t="str">
        <f>'Konstanta c triple'!B43</f>
        <v>T1</v>
      </c>
      <c r="D43" s="6" t="str">
        <f>'Konstanta c triple'!C43</f>
        <v>T2</v>
      </c>
      <c r="E43" s="6" t="str">
        <f>'Konstanta c triple'!D43</f>
        <v>T3</v>
      </c>
      <c r="F43" s="6" t="str">
        <f>'Konstanta c triple'!E43</f>
        <v>T4</v>
      </c>
      <c r="G43" s="6" t="str">
        <f>'Konstanta c triple'!F43</f>
        <v>T5</v>
      </c>
      <c r="H43" s="6" t="str">
        <f>'Konstanta c triple'!G43</f>
        <v>T6</v>
      </c>
      <c r="I43" s="6" t="str">
        <f>'Konstanta c triple'!H43</f>
        <v>T7</v>
      </c>
      <c r="J43" s="6" t="str">
        <f>'Konstanta c triple'!I43</f>
        <v>T8</v>
      </c>
      <c r="K43" s="6" t="str">
        <f>'Konstanta c triple'!J43</f>
        <v>T9</v>
      </c>
      <c r="L43" s="6" t="str">
        <f>'Konstanta c triple'!K43</f>
        <v>T10</v>
      </c>
      <c r="M43" s="6" t="str">
        <f>'Konstanta c triple'!L43</f>
        <v>T11</v>
      </c>
    </row>
    <row r="44" spans="1:13" x14ac:dyDescent="0.3">
      <c r="A44" s="6" t="str">
        <f>'Konstanta c triple'!A44</f>
        <v>Oil A 20 LT</v>
      </c>
      <c r="B44" s="6">
        <v>0</v>
      </c>
      <c r="C44" s="6">
        <f>'Konstanta a triple'!B44+('Konstanta b triple'!B44*'Peramalan triple'!$P$1)+'Peramalan triple'!$P$2*('Konstanta c triple'!B44*'Peramalan triple'!$P$3)</f>
        <v>12588.09</v>
      </c>
      <c r="D44" s="6">
        <f>'Konstanta a triple'!C44+('Konstanta b triple'!C44*'Peramalan triple'!$P$1)+'Peramalan triple'!$P$2*('Konstanta c triple'!C44*'Peramalan triple'!$P$3)</f>
        <v>-158975.38999999996</v>
      </c>
      <c r="E44" s="6">
        <f>'Konstanta a triple'!D44+('Konstanta b triple'!D44*'Peramalan triple'!$P$1)+'Peramalan triple'!$P$2*('Konstanta c triple'!D44*'Peramalan triple'!$P$3)</f>
        <v>181062.24199999994</v>
      </c>
      <c r="F44" s="6">
        <f>'Konstanta a triple'!E44+('Konstanta b triple'!E44*'Peramalan triple'!$P$1)+'Peramalan triple'!$P$2*('Konstanta c triple'!E44*'Peramalan triple'!$P$3)</f>
        <v>9944.849839999988</v>
      </c>
      <c r="G44" s="6">
        <f>'Konstanta a triple'!F44+('Konstanta b triple'!F44*'Peramalan triple'!$P$1)+'Peramalan triple'!$P$2*('Konstanta c triple'!F44*'Peramalan triple'!$P$3)</f>
        <v>-64321.444288000021</v>
      </c>
      <c r="H44" s="6">
        <f>'Konstanta a triple'!G44+('Konstanta b triple'!G44*'Peramalan triple'!$P$1)+'Peramalan triple'!$P$2*('Konstanta c triple'!G44*'Peramalan triple'!$P$3)</f>
        <v>-91570.350718400077</v>
      </c>
      <c r="I44" s="6">
        <f>'Konstanta a triple'!H44+('Konstanta b triple'!H44*'Peramalan triple'!$P$1)+'Peramalan triple'!$P$2*('Konstanta c triple'!H44*'Peramalan triple'!$P$3)</f>
        <v>133393.45861551986</v>
      </c>
      <c r="J44" s="6">
        <f>'Konstanta a triple'!I44+('Konstanta b triple'!I44*'Peramalan triple'!$P$1)+'Peramalan triple'!$P$2*('Konstanta c triple'!I44*'Peramalan triple'!$P$3)</f>
        <v>5039.9115331679495</v>
      </c>
      <c r="K44" s="6">
        <f>'Konstanta a triple'!J44+('Konstanta b triple'!J44*'Peramalan triple'!$P$1)+'Peramalan triple'!$P$2*('Konstanta c triple'!J44*'Peramalan triple'!$P$3)</f>
        <v>-20574.737478952018</v>
      </c>
      <c r="L44" s="6">
        <f>'Konstanta a triple'!K44+('Konstanta b triple'!K44*'Peramalan triple'!$P$1)+'Peramalan triple'!$P$2*('Konstanta c triple'!K44*'Peramalan triple'!$P$3)</f>
        <v>-77202.147305746243</v>
      </c>
      <c r="M44" s="6">
        <f>'Konstanta a triple'!L44+('Konstanta b triple'!L44*'Peramalan triple'!$P$1)+'Peramalan triple'!$P$2*('Konstanta c triple'!L44*'Peramalan triple'!$P$3)</f>
        <v>134031.01550930479</v>
      </c>
    </row>
    <row r="45" spans="1:13" x14ac:dyDescent="0.3">
      <c r="A45" s="6" t="str">
        <f>'Konstanta c triple'!A45</f>
        <v>Oil A 200 LT</v>
      </c>
      <c r="B45" s="6">
        <v>0</v>
      </c>
      <c r="C45" s="6">
        <f>'Konstanta a triple'!B45+('Konstanta b triple'!B45*'Peramalan triple'!$P$1)+'Peramalan triple'!$P$2*('Konstanta c triple'!B45*'Peramalan triple'!$P$3)</f>
        <v>459915.78</v>
      </c>
      <c r="D45" s="6">
        <f>'Konstanta a triple'!C45+('Konstanta b triple'!C45*'Peramalan triple'!$P$1)+'Peramalan triple'!$P$2*('Konstanta c triple'!C45*'Peramalan triple'!$P$3)</f>
        <v>-919374.66000000131</v>
      </c>
      <c r="E45" s="6">
        <f>'Konstanta a triple'!D45+('Konstanta b triple'!D45*'Peramalan triple'!$P$1)+'Peramalan triple'!$P$2*('Konstanta c triple'!D45*'Peramalan triple'!$P$3)</f>
        <v>-1232902.8640000017</v>
      </c>
      <c r="F45" s="6">
        <f>'Konstanta a triple'!E45+('Konstanta b triple'!E45*'Peramalan triple'!$P$1)+'Peramalan triple'!$P$2*('Konstanta c triple'!E45*'Peramalan triple'!$P$3)</f>
        <v>1408707.7095199989</v>
      </c>
      <c r="G45" s="6">
        <f>'Konstanta a triple'!F45+('Konstanta b triple'!F45*'Peramalan triple'!$P$1)+'Peramalan triple'!$P$2*('Konstanta c triple'!F45*'Peramalan triple'!$P$3)</f>
        <v>-4903170.9930639975</v>
      </c>
      <c r="H45" s="6">
        <f>'Konstanta a triple'!G45+('Konstanta b triple'!G45*'Peramalan triple'!$P$1)+'Peramalan triple'!$P$2*('Konstanta c triple'!G45*'Peramalan triple'!$P$3)</f>
        <v>-1710155.2874952024</v>
      </c>
      <c r="I45" s="6">
        <f>'Konstanta a triple'!H45+('Konstanta b triple'!H45*'Peramalan triple'!$P$1)+'Peramalan triple'!$P$2*('Konstanta c triple'!H45*'Peramalan triple'!$P$3)</f>
        <v>896554.68614455906</v>
      </c>
      <c r="J45" s="6">
        <f>'Konstanta a triple'!I45+('Konstanta b triple'!I45*'Peramalan triple'!$P$1)+'Peramalan triple'!$P$2*('Konstanta c triple'!I45*'Peramalan triple'!$P$3)</f>
        <v>2386776.1344357021</v>
      </c>
      <c r="K45" s="6">
        <f>'Konstanta a triple'!J45+('Konstanta b triple'!J45*'Peramalan triple'!$P$1)+'Peramalan triple'!$P$2*('Konstanta c triple'!J45*'Peramalan triple'!$P$3)</f>
        <v>2528208.0334787588</v>
      </c>
      <c r="L45" s="6">
        <f>'Konstanta a triple'!K45+('Konstanta b triple'!K45*'Peramalan triple'!$P$1)+'Peramalan triple'!$P$2*('Konstanta c triple'!K45*'Peramalan triple'!$P$3)</f>
        <v>2667405.67748931</v>
      </c>
      <c r="M45" s="6">
        <f>'Konstanta a triple'!L45+('Konstanta b triple'!L45*'Peramalan triple'!$P$1)+'Peramalan triple'!$P$2*('Konstanta c triple'!L45*'Peramalan triple'!$P$3)</f>
        <v>1529623.6569842852</v>
      </c>
    </row>
    <row r="46" spans="1:13" x14ac:dyDescent="0.3">
      <c r="A46" s="6" t="str">
        <f>'Konstanta c triple'!A46</f>
        <v>Oil A 1000 LT</v>
      </c>
      <c r="B46" s="6">
        <v>0</v>
      </c>
      <c r="C46" s="6">
        <f>'Konstanta a triple'!B46+('Konstanta b triple'!B46*'Peramalan triple'!$P$1)+'Peramalan triple'!$P$2*('Konstanta c triple'!B46*'Peramalan triple'!$P$3)</f>
        <v>23458.3</v>
      </c>
      <c r="D46" s="6">
        <f>'Konstanta a triple'!C46+('Konstanta b triple'!C46*'Peramalan triple'!$P$1)+'Peramalan triple'!$P$2*('Konstanta c triple'!C46*'Peramalan triple'!$P$3)</f>
        <v>436140.89999999997</v>
      </c>
      <c r="E46" s="6">
        <f>'Konstanta a triple'!D46+('Konstanta b triple'!D46*'Peramalan triple'!$P$1)+'Peramalan triple'!$P$2*('Konstanta c triple'!D46*'Peramalan triple'!$P$3)</f>
        <v>181185.7600000001</v>
      </c>
      <c r="F46" s="6">
        <f>'Konstanta a triple'!E46+('Konstanta b triple'!E46*'Peramalan triple'!$P$1)+'Peramalan triple'!$P$2*('Konstanta c triple'!E46*'Peramalan triple'!$P$3)</f>
        <v>357626.16920000012</v>
      </c>
      <c r="G46" s="6">
        <f>'Konstanta a triple'!F46+('Konstanta b triple'!F46*'Peramalan triple'!$P$1)+'Peramalan triple'!$P$2*('Konstanta c triple'!F46*'Peramalan triple'!$P$3)</f>
        <v>21894.309960000155</v>
      </c>
      <c r="H46" s="6">
        <f>'Konstanta a triple'!G46+('Konstanta b triple'!G46*'Peramalan triple'!$P$1)+'Peramalan triple'!$P$2*('Konstanta c triple'!G46*'Peramalan triple'!$P$3)</f>
        <v>696538.86422799993</v>
      </c>
      <c r="I46" s="6">
        <f>'Konstanta a triple'!H46+('Konstanta b triple'!H46*'Peramalan triple'!$P$1)+'Peramalan triple'!$P$2*('Konstanta c triple'!H46*'Peramalan triple'!$P$3)</f>
        <v>1347816.7640035993</v>
      </c>
      <c r="J46" s="6">
        <f>'Konstanta a triple'!I46+('Konstanta b triple'!I46*'Peramalan triple'!$P$1)+'Peramalan triple'!$P$2*('Konstanta c triple'!I46*'Peramalan triple'!$P$3)</f>
        <v>708272.20427203982</v>
      </c>
      <c r="K46" s="6">
        <f>'Konstanta a triple'!J46+('Konstanta b triple'!J46*'Peramalan triple'!$P$1)+'Peramalan triple'!$P$2*('Konstanta c triple'!J46*'Peramalan triple'!$P$3)</f>
        <v>-398682.29213558009</v>
      </c>
      <c r="L46" s="6">
        <f>'Konstanta a triple'!K46+('Konstanta b triple'!K46*'Peramalan triple'!$P$1)+'Peramalan triple'!$P$2*('Konstanta c triple'!K46*'Peramalan triple'!$P$3)</f>
        <v>-276433.77318094048</v>
      </c>
      <c r="M46" s="6">
        <f>'Konstanta a triple'!L46+('Konstanta b triple'!L46*'Peramalan triple'!$P$1)+'Peramalan triple'!$P$2*('Konstanta c triple'!L46*'Peramalan triple'!$P$3)</f>
        <v>-172451.26092719735</v>
      </c>
    </row>
    <row r="47" spans="1:13" x14ac:dyDescent="0.3">
      <c r="A47" s="6" t="str">
        <f>'Konstanta c triple'!A47</f>
        <v>Oil B 20 LT</v>
      </c>
      <c r="B47" s="6">
        <v>0</v>
      </c>
      <c r="C47" s="6">
        <f>'Konstanta a triple'!B47+('Konstanta b triple'!B47*'Peramalan triple'!$P$1)+'Peramalan triple'!$P$2*('Konstanta c triple'!B47*'Peramalan triple'!$P$3)</f>
        <v>4698.6500000000087</v>
      </c>
      <c r="D47" s="6">
        <f>'Konstanta a triple'!C47+('Konstanta b triple'!C47*'Peramalan triple'!$P$1)+'Peramalan triple'!$P$2*('Konstanta c triple'!C47*'Peramalan triple'!$P$3)</f>
        <v>91518.349999999977</v>
      </c>
      <c r="E47" s="6">
        <f>'Konstanta a triple'!D47+('Konstanta b triple'!D47*'Peramalan triple'!$P$1)+'Peramalan triple'!$P$2*('Konstanta c triple'!D47*'Peramalan triple'!$P$3)</f>
        <v>85778.22000000003</v>
      </c>
      <c r="F47" s="6">
        <f>'Konstanta a triple'!E47+('Konstanta b triple'!E47*'Peramalan triple'!$P$1)+'Peramalan triple'!$P$2*('Konstanta c triple'!E47*'Peramalan triple'!$P$3)</f>
        <v>46701.61740000001</v>
      </c>
      <c r="G47" s="6">
        <f>'Konstanta a triple'!F47+('Konstanta b triple'!F47*'Peramalan triple'!$P$1)+'Peramalan triple'!$P$2*('Konstanta c triple'!F47*'Peramalan triple'!$P$3)</f>
        <v>897957.59601999994</v>
      </c>
      <c r="H47" s="6">
        <f>'Konstanta a triple'!G47+('Konstanta b triple'!G47*'Peramalan triple'!$P$1)+'Peramalan triple'!$P$2*('Konstanta c triple'!G47*'Peramalan triple'!$P$3)</f>
        <v>127292.49562600011</v>
      </c>
      <c r="I47" s="6">
        <f>'Konstanta a triple'!H47+('Konstanta b triple'!H47*'Peramalan triple'!$P$1)+'Peramalan triple'!$P$2*('Konstanta c triple'!H47*'Peramalan triple'!$P$3)</f>
        <v>18486.442532199995</v>
      </c>
      <c r="J47" s="6">
        <f>'Konstanta a triple'!I47+('Konstanta b triple'!I47*'Peramalan triple'!$P$1)+'Peramalan triple'!$P$2*('Konstanta c triple'!I47*'Peramalan triple'!$P$3)</f>
        <v>186931.94777817998</v>
      </c>
      <c r="K47" s="6">
        <f>'Konstanta a triple'!J47+('Konstanta b triple'!J47*'Peramalan triple'!$P$1)+'Peramalan triple'!$P$2*('Konstanta c triple'!J47*'Peramalan triple'!$P$3)</f>
        <v>204115.98238129</v>
      </c>
      <c r="L47" s="6">
        <f>'Konstanta a triple'!K47+('Konstanta b triple'!K47*'Peramalan triple'!$P$1)+'Peramalan triple'!$P$2*('Konstanta c triple'!K47*'Peramalan triple'!$P$3)</f>
        <v>586487.12591556401</v>
      </c>
      <c r="M47" s="6">
        <f>'Konstanta a triple'!L47+('Konstanta b triple'!L47*'Peramalan triple'!$P$1)+'Peramalan triple'!$P$2*('Konstanta c triple'!L47*'Peramalan triple'!$P$3)</f>
        <v>-19974.571142268098</v>
      </c>
    </row>
    <row r="48" spans="1:13" x14ac:dyDescent="0.3">
      <c r="A48" s="6" t="str">
        <f>'Konstanta c triple'!A48</f>
        <v>Oil B 200 LT</v>
      </c>
      <c r="B48" s="6">
        <v>0</v>
      </c>
      <c r="C48" s="6">
        <f>'Konstanta a triple'!B48+('Konstanta b triple'!B48*'Peramalan triple'!$P$1)+'Peramalan triple'!$P$2*('Konstanta c triple'!B48*'Peramalan triple'!$P$3)</f>
        <v>1033.08</v>
      </c>
      <c r="D48" s="6">
        <f>'Konstanta a triple'!C48+('Konstanta b triple'!C48*'Peramalan triple'!$P$1)+'Peramalan triple'!$P$2*('Konstanta c triple'!C48*'Peramalan triple'!$P$3)</f>
        <v>538820</v>
      </c>
      <c r="E48" s="6">
        <f>'Konstanta a triple'!D48+('Konstanta b triple'!D48*'Peramalan triple'!$P$1)+'Peramalan triple'!$P$2*('Konstanta c triple'!D48*'Peramalan triple'!$P$3)</f>
        <v>461018.45199999999</v>
      </c>
      <c r="F48" s="6">
        <f>'Konstanta a triple'!E48+('Konstanta b triple'!E48*'Peramalan triple'!$P$1)+'Peramalan triple'!$P$2*('Konstanta c triple'!E48*'Peramalan triple'!$P$3)</f>
        <v>397675.1746400001</v>
      </c>
      <c r="G48" s="6">
        <f>'Konstanta a triple'!F48+('Konstanta b triple'!F48*'Peramalan triple'!$P$1)+'Peramalan triple'!$P$2*('Konstanta c triple'!F48*'Peramalan triple'!$P$3)</f>
        <v>531942.00351199997</v>
      </c>
      <c r="H48" s="6">
        <f>'Konstanta a triple'!G48+('Konstanta b triple'!G48*'Peramalan triple'!$P$1)+'Peramalan triple'!$P$2*('Konstanta c triple'!G48*'Peramalan triple'!$P$3)</f>
        <v>308644.07658160012</v>
      </c>
      <c r="I48" s="6">
        <f>'Konstanta a triple'!H48+('Konstanta b triple'!H48*'Peramalan triple'!$P$1)+'Peramalan triple'!$P$2*('Konstanta c triple'!H48*'Peramalan triple'!$P$3)</f>
        <v>1035360.7708383198</v>
      </c>
      <c r="J48" s="6">
        <f>'Konstanta a triple'!I48+('Konstanta b triple'!I48*'Peramalan triple'!$P$1)+'Peramalan triple'!$P$2*('Konstanta c triple'!I48*'Peramalan triple'!$P$3)</f>
        <v>614393.91414360807</v>
      </c>
      <c r="K48" s="6">
        <f>'Konstanta a triple'!J48+('Konstanta b triple'!J48*'Peramalan triple'!$P$1)+'Peramalan triple'!$P$2*('Konstanta c triple'!J48*'Peramalan triple'!$P$3)</f>
        <v>417277.68616830005</v>
      </c>
      <c r="L48" s="6">
        <f>'Konstanta a triple'!K48+('Konstanta b triple'!K48*'Peramalan triple'!$P$1)+'Peramalan triple'!$P$2*('Konstanta c triple'!K48*'Peramalan triple'!$P$3)</f>
        <v>847424.84675152635</v>
      </c>
      <c r="M48" s="6">
        <f>'Konstanta a triple'!L48+('Konstanta b triple'!L48*'Peramalan triple'!$P$1)+'Peramalan triple'!$P$2*('Konstanta c triple'!L48*'Peramalan triple'!$P$3)</f>
        <v>839016.48241883388</v>
      </c>
    </row>
    <row r="49" spans="1:13" x14ac:dyDescent="0.3">
      <c r="A49" s="6">
        <f>'Konstanta c triple'!A49</f>
        <v>0.89999999999999991</v>
      </c>
      <c r="C49" s="6" t="str">
        <f>'Konstanta c triple'!B49</f>
        <v>T1</v>
      </c>
      <c r="D49" s="6" t="str">
        <f>'Konstanta c triple'!C49</f>
        <v>T2</v>
      </c>
      <c r="E49" s="6" t="str">
        <f>'Konstanta c triple'!D49</f>
        <v>T3</v>
      </c>
      <c r="F49" s="6" t="str">
        <f>'Konstanta c triple'!E49</f>
        <v>T4</v>
      </c>
      <c r="G49" s="6" t="str">
        <f>'Konstanta c triple'!F49</f>
        <v>T5</v>
      </c>
      <c r="H49" s="6" t="str">
        <f>'Konstanta c triple'!G49</f>
        <v>T6</v>
      </c>
      <c r="I49" s="6" t="str">
        <f>'Konstanta c triple'!H49</f>
        <v>T7</v>
      </c>
      <c r="J49" s="6" t="str">
        <f>'Konstanta c triple'!I49</f>
        <v>T8</v>
      </c>
      <c r="K49" s="6" t="str">
        <f>'Konstanta c triple'!J49</f>
        <v>T9</v>
      </c>
      <c r="L49" s="6" t="str">
        <f>'Konstanta c triple'!K49</f>
        <v>T10</v>
      </c>
      <c r="M49" s="6" t="str">
        <f>'Konstanta c triple'!L49</f>
        <v>T11</v>
      </c>
    </row>
    <row r="50" spans="1:13" x14ac:dyDescent="0.3">
      <c r="A50" s="6" t="str">
        <f>'Konstanta c triple'!A50</f>
        <v>Oil A 20 LT</v>
      </c>
      <c r="B50" s="6">
        <v>0</v>
      </c>
      <c r="C50" s="6">
        <f>'Konstanta a triple'!B50+('Konstanta b triple'!B50*'Peramalan triple'!$P$1)+'Peramalan triple'!$P$2*('Konstanta c triple'!B50*'Peramalan triple'!$P$3)</f>
        <v>12588.090000000246</v>
      </c>
      <c r="D50" s="6">
        <f>'Konstanta a triple'!C50+('Konstanta b triple'!C50*'Peramalan triple'!$P$1)+'Peramalan triple'!$P$2*('Konstanta c triple'!C50*'Peramalan triple'!$P$3)</f>
        <v>-682244.00400000031</v>
      </c>
      <c r="E50" s="6">
        <f>'Konstanta a triple'!D50+('Konstanta b triple'!D50*'Peramalan triple'!$P$1)+'Peramalan triple'!$P$2*('Konstanta c triple'!D50*'Peramalan triple'!$P$3)</f>
        <v>764391.61499999964</v>
      </c>
      <c r="F50" s="6">
        <f>'Konstanta a triple'!E50+('Konstanta b triple'!E50*'Peramalan triple'!$P$1)+'Peramalan triple'!$P$2*('Konstanta c triple'!E50*'Peramalan triple'!$P$3)</f>
        <v>-58011.079080000396</v>
      </c>
      <c r="G50" s="6">
        <f>'Konstanta a triple'!F50+('Konstanta b triple'!F50*'Peramalan triple'!$P$1)+'Peramalan triple'!$P$2*('Konstanta c triple'!F50*'Peramalan triple'!$P$3)</f>
        <v>-303726.22613400029</v>
      </c>
      <c r="H50" s="6">
        <f>'Konstanta a triple'!G50+('Konstanta b triple'!G50*'Peramalan triple'!$P$1)+'Peramalan triple'!$P$2*('Konstanta c triple'!G50*'Peramalan triple'!$P$3)</f>
        <v>-378538.45851720037</v>
      </c>
      <c r="I50" s="6">
        <f>'Konstanta a triple'!H50+('Konstanta b triple'!H50*'Peramalan triple'!$P$1)+'Peramalan triple'!$P$2*('Konstanta c triple'!H50*'Peramalan triple'!$P$3)</f>
        <v>547772.66434482019</v>
      </c>
      <c r="J50" s="6">
        <f>'Konstanta a triple'!I50+('Konstanta b triple'!I50*'Peramalan triple'!$P$1)+'Peramalan triple'!$P$2*('Konstanta c triple'!I50*'Peramalan triple'!$P$3)</f>
        <v>-60777.592377636276</v>
      </c>
      <c r="K50" s="6">
        <f>'Konstanta a triple'!J50+('Konstanta b triple'!J50*'Peramalan triple'!$P$1)+'Peramalan triple'!$P$2*('Konstanta c triple'!J50*'Peramalan triple'!$P$3)</f>
        <v>-122344.9743675709</v>
      </c>
      <c r="L50" s="6">
        <f>'Konstanta a triple'!K50+('Konstanta b triple'!K50*'Peramalan triple'!$P$1)+'Peramalan triple'!$P$2*('Konstanta c triple'!K50*'Peramalan triple'!$P$3)</f>
        <v>-337078.95889347338</v>
      </c>
      <c r="M50" s="6">
        <f>'Konstanta a triple'!L50+('Konstanta b triple'!L50*'Peramalan triple'!$P$1)+'Peramalan triple'!$P$2*('Konstanta c triple'!L50*'Peramalan triple'!$P$3)</f>
        <v>543074.79766561859</v>
      </c>
    </row>
    <row r="51" spans="1:13" x14ac:dyDescent="0.3">
      <c r="A51" s="6" t="str">
        <f>'Konstanta c triple'!A51</f>
        <v>Oil A 200 LT</v>
      </c>
      <c r="B51" s="6">
        <v>0</v>
      </c>
      <c r="C51" s="6">
        <f>'Konstanta a triple'!B51+('Konstanta b triple'!B51*'Peramalan triple'!$P$1)+'Peramalan triple'!$P$2*('Konstanta c triple'!B51*'Peramalan triple'!$P$3)</f>
        <v>459915.78000000527</v>
      </c>
      <c r="D51" s="6">
        <f>'Konstanta a triple'!C51+('Konstanta b triple'!C51*'Peramalan triple'!$P$1)+'Peramalan triple'!$P$2*('Konstanta c triple'!C51*'Peramalan triple'!$P$3)</f>
        <v>-5126210.5020000134</v>
      </c>
      <c r="E51" s="6">
        <f>'Konstanta a triple'!D51+('Konstanta b triple'!D51*'Peramalan triple'!$P$1)+'Peramalan triple'!$P$2*('Konstanta c triple'!D51*'Peramalan triple'!$P$3)</f>
        <v>-5837387.0999999931</v>
      </c>
      <c r="F51" s="6">
        <f>'Konstanta a triple'!E51+('Konstanta b triple'!E51*'Peramalan triple'!$P$1)+'Peramalan triple'!$P$2*('Konstanta c triple'!E51*'Peramalan triple'!$P$3)</f>
        <v>5055148.1607599966</v>
      </c>
      <c r="G51" s="6">
        <f>'Konstanta a triple'!F51+('Konstanta b triple'!F51*'Peramalan triple'!$P$1)+'Peramalan triple'!$P$2*('Konstanta c triple'!F51*'Peramalan triple'!$P$3)</f>
        <v>-21544191.962502003</v>
      </c>
      <c r="H51" s="6">
        <f>'Konstanta a triple'!G51+('Konstanta b triple'!G51*'Peramalan triple'!$P$1)+'Peramalan triple'!$P$2*('Konstanta c triple'!G51*'Peramalan triple'!$P$3)</f>
        <v>-6166834.2858966095</v>
      </c>
      <c r="I51" s="6">
        <f>'Konstanta a triple'!H51+('Konstanta b triple'!H51*'Peramalan triple'!$P$1)+'Peramalan triple'!$P$2*('Konstanta c triple'!H51*'Peramalan triple'!$P$3)</f>
        <v>3384812.8656159565</v>
      </c>
      <c r="J51" s="6">
        <f>'Konstanta a triple'!I51+('Konstanta b triple'!I51*'Peramalan triple'!$P$1)+'Peramalan triple'!$P$2*('Konstanta c triple'!I51*'Peramalan triple'!$P$3)</f>
        <v>8283393.8918353906</v>
      </c>
      <c r="K51" s="6">
        <f>'Konstanta a triple'!J51+('Konstanta b triple'!J51*'Peramalan triple'!$P$1)+'Peramalan triple'!$P$2*('Konstanta c triple'!J51*'Peramalan triple'!$P$3)</f>
        <v>8136236.0712588234</v>
      </c>
      <c r="L51" s="6">
        <f>'Konstanta a triple'!K51+('Konstanta b triple'!K51*'Peramalan triple'!$P$1)+'Peramalan triple'!$P$2*('Konstanta c triple'!K51*'Peramalan triple'!$P$3)</f>
        <v>8554768.1309865154</v>
      </c>
      <c r="M51" s="6">
        <f>'Konstanta a triple'!L51+('Konstanta b triple'!L51*'Peramalan triple'!$P$1)+'Peramalan triple'!$P$2*('Konstanta c triple'!L51*'Peramalan triple'!$P$3)</f>
        <v>3858103.2251725066</v>
      </c>
    </row>
    <row r="52" spans="1:13" x14ac:dyDescent="0.3">
      <c r="A52" s="6" t="str">
        <f>'Konstanta c triple'!A52</f>
        <v>Oil A 1000 LT</v>
      </c>
      <c r="B52" s="6">
        <v>0</v>
      </c>
      <c r="C52" s="6">
        <f>'Konstanta a triple'!B52+('Konstanta b triple'!B52*'Peramalan triple'!$P$1)+'Peramalan triple'!$P$2*('Konstanta c triple'!B52*'Peramalan triple'!$P$3)</f>
        <v>23458.3</v>
      </c>
      <c r="D52" s="6">
        <f>'Konstanta a triple'!C52+('Konstanta b triple'!C52*'Peramalan triple'!$P$1)+'Peramalan triple'!$P$2*('Konstanta c triple'!C52*'Peramalan triple'!$P$3)</f>
        <v>1694822.83</v>
      </c>
      <c r="E52" s="6">
        <f>'Konstanta a triple'!D52+('Konstanta b triple'!D52*'Peramalan triple'!$P$1)+'Peramalan triple'!$P$2*('Konstanta c triple'!D52*'Peramalan triple'!$P$3)</f>
        <v>495118.06000000029</v>
      </c>
      <c r="F52" s="6">
        <f>'Konstanta a triple'!E52+('Konstanta b triple'!E52*'Peramalan triple'!$P$1)+'Peramalan triple'!$P$2*('Konstanta c triple'!E52*'Peramalan triple'!$P$3)</f>
        <v>1292902.174600001</v>
      </c>
      <c r="G52" s="6">
        <f>'Konstanta a triple'!F52+('Konstanta b triple'!F52*'Peramalan triple'!$P$1)+'Peramalan triple'!$P$2*('Konstanta c triple'!F52*'Peramalan triple'!$P$3)</f>
        <v>-131379.70996999985</v>
      </c>
      <c r="H52" s="6">
        <f>'Konstanta a triple'!G52+('Konstanta b triple'!G52*'Peramalan triple'!$P$1)+'Peramalan triple'!$P$2*('Konstanta c triple'!G52*'Peramalan triple'!$P$3)</f>
        <v>2727675.0502990005</v>
      </c>
      <c r="I52" s="6">
        <f>'Konstanta a triple'!H52+('Konstanta b triple'!H52*'Peramalan triple'!$P$1)+'Peramalan triple'!$P$2*('Konstanta c triple'!H52*'Peramalan triple'!$P$3)</f>
        <v>5104692.0663945992</v>
      </c>
      <c r="J52" s="6">
        <f>'Konstanta a triple'!I52+('Konstanta b triple'!I52*'Peramalan triple'!$P$1)+'Peramalan triple'!$P$2*('Konstanta c triple'!I52*'Peramalan triple'!$P$3)</f>
        <v>2219263.8969875192</v>
      </c>
      <c r="K52" s="6">
        <f>'Konstanta a triple'!J52+('Konstanta b triple'!J52*'Peramalan triple'!$P$1)+'Peramalan triple'!$P$2*('Konstanta c triple'!J52*'Peramalan triple'!$P$3)</f>
        <v>-2045362.6427760115</v>
      </c>
      <c r="L52" s="6">
        <f>'Konstanta a triple'!K52+('Konstanta b triple'!K52*'Peramalan triple'!$P$1)+'Peramalan triple'!$P$2*('Konstanta c triple'!K52*'Peramalan triple'!$P$3)</f>
        <v>-1086101.6426836899</v>
      </c>
      <c r="M52" s="6">
        <f>'Konstanta a triple'!L52+('Konstanta b triple'!L52*'Peramalan triple'!$P$1)+'Peramalan triple'!$P$2*('Konstanta c triple'!L52*'Peramalan triple'!$P$3)</f>
        <v>-664873.10025172913</v>
      </c>
    </row>
    <row r="53" spans="1:13" x14ac:dyDescent="0.3">
      <c r="A53" s="6" t="str">
        <f>'Konstanta c triple'!A53</f>
        <v>Oil B 20 LT</v>
      </c>
      <c r="B53" s="6">
        <v>0</v>
      </c>
      <c r="C53" s="6">
        <f>'Konstanta a triple'!B53+('Konstanta b triple'!B53*'Peramalan triple'!$P$1)+'Peramalan triple'!$P$2*('Konstanta c triple'!B53*'Peramalan triple'!$P$3)</f>
        <v>4698.6500000000406</v>
      </c>
      <c r="D53" s="6">
        <f>'Konstanta a triple'!C53+('Konstanta b triple'!C53*'Peramalan triple'!$P$1)+'Peramalan triple'!$P$2*('Konstanta c triple'!C53*'Peramalan triple'!$P$3)</f>
        <v>356318.43500000011</v>
      </c>
      <c r="E53" s="6">
        <f>'Konstanta a triple'!D53+('Konstanta b triple'!D53*'Peramalan triple'!$P$1)+'Peramalan triple'!$P$2*('Konstanta c triple'!D53*'Peramalan triple'!$P$3)</f>
        <v>297908.93000000005</v>
      </c>
      <c r="F53" s="6">
        <f>'Konstanta a triple'!E53+('Konstanta b triple'!E53*'Peramalan triple'!$P$1)+'Peramalan triple'!$P$2*('Konstanta c triple'!E53*'Peramalan triple'!$P$3)</f>
        <v>137754.00470000014</v>
      </c>
      <c r="G53" s="6">
        <f>'Konstanta a triple'!F53+('Konstanta b triple'!F53*'Peramalan triple'!$P$1)+'Peramalan triple'!$P$2*('Konstanta c triple'!F53*'Peramalan triple'!$P$3)</f>
        <v>3600288.5637350008</v>
      </c>
      <c r="H53" s="6">
        <f>'Konstanta a triple'!G53+('Konstanta b triple'!G53*'Peramalan triple'!$P$1)+'Peramalan triple'!$P$2*('Konstanta c triple'!G53*'Peramalan triple'!$P$3)</f>
        <v>135459.79354550058</v>
      </c>
      <c r="I53" s="6">
        <f>'Konstanta a triple'!H53+('Konstanta b triple'!H53*'Peramalan triple'!$P$1)+'Peramalan triple'!$P$2*('Konstanta c triple'!H53*'Peramalan triple'!$P$3)</f>
        <v>-34698.575767299764</v>
      </c>
      <c r="J53" s="6">
        <f>'Konstanta a triple'!I53+('Konstanta b triple'!I53*'Peramalan triple'!$P$1)+'Peramalan triple'!$P$2*('Konstanta c triple'!I53*'Peramalan triple'!$P$3)</f>
        <v>717305.0386759399</v>
      </c>
      <c r="K53" s="6">
        <f>'Konstanta a triple'!J53+('Konstanta b triple'!J53*'Peramalan triple'!$P$1)+'Peramalan triple'!$P$2*('Konstanta c triple'!J53*'Peramalan triple'!$P$3)</f>
        <v>725497.41069123044</v>
      </c>
      <c r="L53" s="6">
        <f>'Konstanta a triple'!K53+('Konstanta b triple'!K53*'Peramalan triple'!$P$1)+'Peramalan triple'!$P$2*('Konstanta c triple'!K53*'Peramalan triple'!$P$3)</f>
        <v>2259547.2612300189</v>
      </c>
      <c r="M53" s="6">
        <f>'Konstanta a triple'!L53+('Konstanta b triple'!L53*'Peramalan triple'!$P$1)+'Peramalan triple'!$P$2*('Konstanta c triple'!L53*'Peramalan triple'!$P$3)</f>
        <v>-354584.28533022921</v>
      </c>
    </row>
    <row r="54" spans="1:13" x14ac:dyDescent="0.3">
      <c r="A54" s="6" t="str">
        <f>'Konstanta c triple'!A54</f>
        <v>Oil B 200 LT</v>
      </c>
      <c r="B54" s="6">
        <v>0</v>
      </c>
      <c r="C54" s="6">
        <f>'Konstanta a triple'!B54+('Konstanta b triple'!B54*'Peramalan triple'!$P$1)+'Peramalan triple'!$P$2*('Konstanta c triple'!B54*'Peramalan triple'!$P$3)</f>
        <v>1033.0799999999897</v>
      </c>
      <c r="D54" s="6">
        <f>'Konstanta a triple'!C54+('Konstanta b triple'!C54*'Peramalan triple'!$P$1)+'Peramalan triple'!$P$2*('Konstanta c triple'!C54*'Peramalan triple'!$P$3)</f>
        <v>2179070.1060000001</v>
      </c>
      <c r="E54" s="6">
        <f>'Konstanta a triple'!D54+('Konstanta b triple'!D54*'Peramalan triple'!$P$1)+'Peramalan triple'!$P$2*('Konstanta c triple'!D54*'Peramalan triple'!$P$3)</f>
        <v>1646170.1340000001</v>
      </c>
      <c r="F54" s="6">
        <f>'Konstanta a triple'!E54+('Konstanta b triple'!E54*'Peramalan triple'!$P$1)+'Peramalan triple'!$P$2*('Konstanta c triple'!E54*'Peramalan triple'!$P$3)</f>
        <v>1395003.0433200004</v>
      </c>
      <c r="G54" s="6">
        <f>'Konstanta a triple'!F54+('Konstanta b triple'!F54*'Peramalan triple'!$P$1)+'Peramalan triple'!$P$2*('Konstanta c triple'!F54*'Peramalan triple'!$P$3)</f>
        <v>1961051.1609659996</v>
      </c>
      <c r="H54" s="6">
        <f>'Konstanta a triple'!G54+('Konstanta b triple'!G54*'Peramalan triple'!$P$1)+'Peramalan triple'!$P$2*('Konstanta c triple'!G54*'Peramalan triple'!$P$3)</f>
        <v>1001153.9499378003</v>
      </c>
      <c r="I54" s="6">
        <f>'Konstanta a triple'!H54+('Konstanta b triple'!H54*'Peramalan triple'!$P$1)+'Peramalan triple'!$P$2*('Konstanta c triple'!H54*'Peramalan triple'!$P$3)</f>
        <v>4024799.4684379194</v>
      </c>
      <c r="J54" s="6">
        <f>'Konstanta a triple'!I54+('Konstanta b triple'!I54*'Peramalan triple'!$P$1)+'Peramalan triple'!$P$2*('Konstanta c triple'!I54*'Peramalan triple'!$P$3)</f>
        <v>2030943.384232224</v>
      </c>
      <c r="K54" s="6">
        <f>'Konstanta a triple'!J54+('Konstanta b triple'!J54*'Peramalan triple'!$P$1)+'Peramalan triple'!$P$2*('Konstanta c triple'!J54*'Peramalan triple'!$P$3)</f>
        <v>1365762.4124416811</v>
      </c>
      <c r="L54" s="6">
        <f>'Konstanta a triple'!K54+('Konstanta b triple'!K54*'Peramalan triple'!$P$1)+'Peramalan triple'!$P$2*('Konstanta c triple'!K54*'Peramalan triple'!$P$3)</f>
        <v>3195707.5245576683</v>
      </c>
      <c r="M54" s="6">
        <f>'Konstanta a triple'!L54+('Konstanta b triple'!L54*'Peramalan triple'!$P$1)+'Peramalan triple'!$P$2*('Konstanta c triple'!L54*'Peramalan triple'!$P$3)</f>
        <v>2992684.4493076056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24953-5929-4CCD-96C4-499EF0D98079}">
  <dimension ref="A1:J8"/>
  <sheetViews>
    <sheetView workbookViewId="0">
      <selection activeCell="J7" sqref="J7"/>
    </sheetView>
  </sheetViews>
  <sheetFormatPr defaultColWidth="8.88671875" defaultRowHeight="14.4" x14ac:dyDescent="0.3"/>
  <cols>
    <col min="1" max="1" width="14.109375" style="1" bestFit="1" customWidth="1"/>
    <col min="2" max="6" width="7.44140625" style="1" bestFit="1" customWidth="1"/>
    <col min="7" max="9" width="8.44140625" style="1" bestFit="1" customWidth="1"/>
    <col min="10" max="10" width="9.44140625" style="1" bestFit="1" customWidth="1"/>
    <col min="11" max="11" width="7.6640625" style="1" bestFit="1" customWidth="1"/>
    <col min="12" max="12" width="9.5546875" style="1" bestFit="1" customWidth="1"/>
    <col min="13" max="13" width="9.33203125" style="1" bestFit="1" customWidth="1"/>
    <col min="14" max="16384" width="8.88671875" style="1"/>
  </cols>
  <sheetData>
    <row r="1" spans="1:10" x14ac:dyDescent="0.3">
      <c r="A1" s="30" t="s">
        <v>0</v>
      </c>
      <c r="B1" s="30" t="s">
        <v>30</v>
      </c>
      <c r="C1" s="30"/>
      <c r="D1" s="30"/>
      <c r="E1" s="30"/>
      <c r="F1" s="30"/>
      <c r="G1" s="30"/>
      <c r="H1" s="30"/>
      <c r="I1" s="30"/>
      <c r="J1" s="30"/>
    </row>
    <row r="2" spans="1:10" x14ac:dyDescent="0.3">
      <c r="A2" s="30"/>
      <c r="B2" s="11">
        <v>0.1</v>
      </c>
      <c r="C2" s="11">
        <f>+B2+0.1</f>
        <v>0.2</v>
      </c>
      <c r="D2" s="11">
        <f t="shared" ref="D2:J2" si="0">+C2+0.1</f>
        <v>0.30000000000000004</v>
      </c>
      <c r="E2" s="11">
        <f t="shared" si="0"/>
        <v>0.4</v>
      </c>
      <c r="F2" s="11">
        <f t="shared" si="0"/>
        <v>0.5</v>
      </c>
      <c r="G2" s="11">
        <f t="shared" si="0"/>
        <v>0.6</v>
      </c>
      <c r="H2" s="11">
        <f t="shared" si="0"/>
        <v>0.7</v>
      </c>
      <c r="I2" s="11">
        <f t="shared" si="0"/>
        <v>0.79999999999999993</v>
      </c>
      <c r="J2" s="11">
        <f t="shared" si="0"/>
        <v>0.89999999999999991</v>
      </c>
    </row>
    <row r="3" spans="1:10" x14ac:dyDescent="0.3">
      <c r="A3" s="3" t="str">
        <f>kg!A3</f>
        <v>Oil A 20 LT</v>
      </c>
      <c r="B3" s="12">
        <f>'Rekap triple 0,1'!$K$14</f>
        <v>39.380750702168555</v>
      </c>
      <c r="C3" s="12">
        <f>'Rekap Triple 0,2'!$K$14</f>
        <v>44.590873829694367</v>
      </c>
      <c r="D3" s="12">
        <f>'Rekap Triple 0,3'!$K$14</f>
        <v>50.667301504712434</v>
      </c>
      <c r="E3" s="12">
        <f>'Rekap Triple 0,4'!$K$14</f>
        <v>56.543847543100533</v>
      </c>
      <c r="F3" s="12">
        <f>'Rekap Triple 0,5'!$K$14</f>
        <v>64.628167080800736</v>
      </c>
      <c r="G3" s="12">
        <f>'Rekap Triple 0,6'!$K$14</f>
        <v>64.628167080800736</v>
      </c>
      <c r="H3" s="12">
        <f>'Rekap Triple 0,7'!$K$14</f>
        <v>64.628167080800736</v>
      </c>
      <c r="I3" s="12">
        <f>'Rekap Triple 0,8'!$K$14</f>
        <v>64.628167080800736</v>
      </c>
      <c r="J3" s="12">
        <f>'Rekap Triple 0,9'!$K$14</f>
        <v>64.628167080800736</v>
      </c>
    </row>
    <row r="4" spans="1:10" x14ac:dyDescent="0.3">
      <c r="A4" s="3" t="str">
        <f>kg!A4</f>
        <v>Oil A 200 LT</v>
      </c>
      <c r="B4" s="12">
        <f>'Rekap triple 0,1'!$V$14</f>
        <v>21.853786323031652</v>
      </c>
      <c r="C4" s="12">
        <f>'Rekap Triple 0,2'!$V$14</f>
        <v>24.663937076166096</v>
      </c>
      <c r="D4" s="12">
        <f>'Rekap Triple 0,3'!$V$14</f>
        <v>26.450854417092387</v>
      </c>
      <c r="E4" s="12">
        <f>'Rekap Triple 0,4'!$V$14</f>
        <v>29.083296453872965</v>
      </c>
      <c r="F4" s="12">
        <f>'Rekap Triple 0,5'!$V$14</f>
        <v>31.518618609286957</v>
      </c>
      <c r="G4" s="12">
        <f>'Rekap Triple 0,6'!$V$14</f>
        <v>104.46478860452883</v>
      </c>
      <c r="H4" s="12">
        <f>'Rekap Triple 0,7'!$V$14</f>
        <v>177.72836918701057</v>
      </c>
      <c r="I4" s="12">
        <f>'Rekap Triple 0,8'!$V$14</f>
        <v>391.20283722791982</v>
      </c>
      <c r="J4" s="12">
        <f>'Rekap Triple 0,9'!$V$14</f>
        <v>1527.4646617510743</v>
      </c>
    </row>
    <row r="5" spans="1:10" x14ac:dyDescent="0.3">
      <c r="A5" s="3" t="str">
        <f>kg!A5</f>
        <v>Oil A 1000 LT</v>
      </c>
      <c r="B5" s="12">
        <f>'Rekap triple 0,1'!$V$28</f>
        <v>64.173933798866912</v>
      </c>
      <c r="C5" s="12">
        <f>'Rekap Triple 0,2'!$V$28</f>
        <v>74.711453864563637</v>
      </c>
      <c r="D5" s="12">
        <f>'Rekap Triple 0,3'!$V$28</f>
        <v>79.926864063741334</v>
      </c>
      <c r="E5" s="12">
        <f>'Rekap Triple 0,4'!$V$28</f>
        <v>91.149567171740998</v>
      </c>
      <c r="F5" s="12">
        <f>'Rekap Triple 0,5'!$V$28</f>
        <v>94.75596691755878</v>
      </c>
      <c r="G5" s="12">
        <f>'Rekap Triple 0,6'!$V$28</f>
        <v>365.42758750500457</v>
      </c>
      <c r="H5" s="12">
        <f>'Rekap Triple 0,7'!$V$28</f>
        <v>631.13018450386528</v>
      </c>
      <c r="I5" s="12">
        <f>'Rekap Triple 0,8'!$V$28</f>
        <v>1339.993236534556</v>
      </c>
      <c r="J5" s="12">
        <f>'Rekap Triple 0,9'!$V$28</f>
        <v>4958.4379709956838</v>
      </c>
    </row>
    <row r="6" spans="1:10" x14ac:dyDescent="0.3">
      <c r="A6" s="3" t="str">
        <f>kg!A6</f>
        <v>Oil B 20 LT</v>
      </c>
      <c r="B6" s="12">
        <f>'Rekap triple 0,1'!$V$42</f>
        <v>74.215996545304904</v>
      </c>
      <c r="C6" s="12">
        <f>'Rekap Triple 0,2'!$V$42</f>
        <v>99.798403982185732</v>
      </c>
      <c r="D6" s="12">
        <f>'Rekap Triple 0,3'!$V$42</f>
        <v>117.13603593266436</v>
      </c>
      <c r="E6" s="12">
        <f>'Rekap Triple 0,4'!$V$42</f>
        <v>132.77311515411347</v>
      </c>
      <c r="F6" s="12">
        <f>'Rekap Triple 0,5'!$V$42</f>
        <v>158.33808292731675</v>
      </c>
      <c r="G6" s="12">
        <f>'Rekap Triple 0,6'!$V$42</f>
        <v>631.12960238008498</v>
      </c>
      <c r="H6" s="12">
        <f>'Rekap Triple 0,7'!$V$42</f>
        <v>1056.7714754679464</v>
      </c>
      <c r="I6" s="12">
        <f>'Rekap Triple 0,8'!$V$42</f>
        <v>2265.4775752631285</v>
      </c>
      <c r="J6" s="12">
        <f>'Rekap Triple 0,9'!$V$42</f>
        <v>8946.8080644961719</v>
      </c>
    </row>
    <row r="7" spans="1:10" x14ac:dyDescent="0.3">
      <c r="A7" s="3" t="str">
        <f>kg!A7</f>
        <v>Oil B 200 LT</v>
      </c>
      <c r="B7" s="12">
        <f>'Rekap triple 0,1'!$AG$14</f>
        <v>32.210987214501799</v>
      </c>
      <c r="C7" s="12">
        <f>'Rekap Triple 0,2'!$AG$14</f>
        <v>33.630521043324592</v>
      </c>
      <c r="D7" s="12">
        <f>'Rekap Triple 0,3'!$AG$14</f>
        <v>39.381227299770877</v>
      </c>
      <c r="E7" s="12">
        <f>'Rekap Triple 0,4'!$AG$14</f>
        <v>46.816600733646084</v>
      </c>
      <c r="F7" s="12">
        <f>'Rekap Triple 0,5'!$AG$14</f>
        <v>53.781005225476207</v>
      </c>
      <c r="G7" s="12">
        <f>'Rekap Triple 0,6'!$AG$14</f>
        <v>423.06025851603027</v>
      </c>
      <c r="H7" s="12">
        <f>'Rekap Triple 0,7'!$AG$14</f>
        <v>740.73903410519688</v>
      </c>
      <c r="I7" s="12">
        <f>'Rekap Triple 0,8'!$AG$14</f>
        <v>1605.3317185360095</v>
      </c>
      <c r="J7" s="12">
        <f>'Rekap Triple 0,9'!$AG$14</f>
        <v>6085.9578087796717</v>
      </c>
    </row>
    <row r="8" spans="1:10" x14ac:dyDescent="0.3">
      <c r="B8" s="6">
        <f t="shared" ref="B8:J8" si="1">SUM(B3:B7)</f>
        <v>231.83545458387385</v>
      </c>
      <c r="C8" s="6">
        <f t="shared" si="1"/>
        <v>277.39518979593447</v>
      </c>
      <c r="D8" s="6">
        <f t="shared" si="1"/>
        <v>313.56228321798142</v>
      </c>
      <c r="E8" s="6">
        <f t="shared" si="1"/>
        <v>356.36642705647398</v>
      </c>
      <c r="F8" s="6">
        <f t="shared" si="1"/>
        <v>403.02184076043943</v>
      </c>
      <c r="G8" s="6">
        <f t="shared" si="1"/>
        <v>1588.7104040864494</v>
      </c>
      <c r="H8" s="6">
        <f t="shared" si="1"/>
        <v>2670.9972303448199</v>
      </c>
      <c r="I8" s="6">
        <f t="shared" si="1"/>
        <v>5666.6335346424148</v>
      </c>
      <c r="J8" s="6">
        <f t="shared" si="1"/>
        <v>21583.296673103403</v>
      </c>
    </row>
  </sheetData>
  <sortState xmlns:xlrd2="http://schemas.microsoft.com/office/spreadsheetml/2017/richdata2" ref="O11:O28">
    <sortCondition ref="O11:O28"/>
  </sortState>
  <mergeCells count="2">
    <mergeCell ref="A1:A2"/>
    <mergeCell ref="B1:J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7AF28-D883-4D86-9BB3-B41A5D468DE3}">
  <dimension ref="A1:M7"/>
  <sheetViews>
    <sheetView workbookViewId="0">
      <selection activeCell="F7" sqref="F7"/>
    </sheetView>
  </sheetViews>
  <sheetFormatPr defaultColWidth="9.44140625" defaultRowHeight="14.4" x14ac:dyDescent="0.3"/>
  <cols>
    <col min="1" max="1" width="14.109375" style="1" bestFit="1" customWidth="1"/>
    <col min="2" max="2" width="7.33203125" style="1" bestFit="1" customWidth="1"/>
    <col min="3" max="3" width="8.44140625" style="1" bestFit="1" customWidth="1"/>
    <col min="4" max="8" width="6.5546875" style="1" bestFit="1" customWidth="1"/>
    <col min="9" max="9" width="8" style="1" bestFit="1" customWidth="1"/>
    <col min="10" max="10" width="10.88671875" style="1" bestFit="1" customWidth="1"/>
    <col min="11" max="11" width="8.33203125" style="1" bestFit="1" customWidth="1"/>
    <col min="12" max="12" width="10.44140625" style="1" bestFit="1" customWidth="1"/>
    <col min="13" max="13" width="10.109375" style="1" bestFit="1" customWidth="1"/>
    <col min="14" max="16384" width="9.44140625" style="1"/>
  </cols>
  <sheetData>
    <row r="1" spans="1:13" x14ac:dyDescent="0.3">
      <c r="A1" s="37" t="s">
        <v>0</v>
      </c>
      <c r="B1" s="30" t="s">
        <v>71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x14ac:dyDescent="0.3">
      <c r="A2" s="30"/>
      <c r="B2" s="26" t="str">
        <f>kg!B1</f>
        <v>Januari</v>
      </c>
      <c r="C2" s="26" t="str">
        <f>kg!C1</f>
        <v>Februari</v>
      </c>
      <c r="D2" s="26" t="str">
        <f>kg!D1</f>
        <v>Maret</v>
      </c>
      <c r="E2" s="26" t="str">
        <f>kg!E1</f>
        <v>April</v>
      </c>
      <c r="F2" s="26" t="str">
        <f>kg!F1</f>
        <v>Mei</v>
      </c>
      <c r="G2" s="26" t="str">
        <f>kg!G1</f>
        <v>Juni</v>
      </c>
      <c r="H2" s="26" t="str">
        <f>kg!H1</f>
        <v>Juli</v>
      </c>
      <c r="I2" s="26" t="str">
        <f>kg!I1</f>
        <v>Agustus</v>
      </c>
      <c r="J2" s="26" t="str">
        <f>kg!J1</f>
        <v>September</v>
      </c>
      <c r="K2" s="26" t="str">
        <f>kg!K1</f>
        <v>Oktober</v>
      </c>
      <c r="L2" s="26" t="str">
        <f>kg!L1</f>
        <v>November</v>
      </c>
      <c r="M2" s="26" t="str">
        <f>kg!M1</f>
        <v>Desember</v>
      </c>
    </row>
    <row r="3" spans="1:13" x14ac:dyDescent="0.3">
      <c r="A3" s="3" t="str">
        <f>'MAPE Double Exponen'!A3</f>
        <v>Oil A 20 LT</v>
      </c>
      <c r="B3" s="7">
        <v>0</v>
      </c>
      <c r="C3" s="7">
        <v>162.81309045357273</v>
      </c>
      <c r="D3" s="7">
        <v>51.257176883301689</v>
      </c>
      <c r="E3" s="7">
        <v>19.339241525740576</v>
      </c>
      <c r="F3" s="7">
        <v>39.465738605005093</v>
      </c>
      <c r="G3" s="7">
        <v>42.06548288651944</v>
      </c>
      <c r="H3" s="7">
        <v>42.465577191849093</v>
      </c>
      <c r="I3" s="7">
        <v>14.472084333996149</v>
      </c>
      <c r="J3" s="7">
        <v>12.009053417230408</v>
      </c>
      <c r="K3" s="7">
        <v>40.278542629313087</v>
      </c>
      <c r="L3" s="7">
        <v>40.911351606236906</v>
      </c>
      <c r="M3" s="7">
        <v>7.4916688932575566</v>
      </c>
    </row>
    <row r="4" spans="1:13" x14ac:dyDescent="0.3">
      <c r="A4" s="3" t="str">
        <f>'MAPE Double Exponen'!A4</f>
        <v>Oil A 200 LT</v>
      </c>
      <c r="B4" s="7">
        <v>0</v>
      </c>
      <c r="C4" s="7">
        <v>15.783419778966239</v>
      </c>
      <c r="D4" s="7">
        <v>13.325565183630889</v>
      </c>
      <c r="E4" s="7">
        <v>16.255682608620912</v>
      </c>
      <c r="F4" s="7">
        <v>121.22474604333271</v>
      </c>
      <c r="G4" s="7">
        <v>2.0378166360801848</v>
      </c>
      <c r="H4" s="7">
        <v>21.380682329163413</v>
      </c>
      <c r="I4" s="7">
        <v>24.671846567530118</v>
      </c>
      <c r="J4" s="7">
        <v>18.617926180068903</v>
      </c>
      <c r="K4" s="7">
        <v>15.53013618605212</v>
      </c>
      <c r="L4" s="7">
        <v>2.3985878098847606</v>
      </c>
      <c r="M4" s="7">
        <v>11.019026553049574</v>
      </c>
    </row>
    <row r="5" spans="1:13" x14ac:dyDescent="0.3">
      <c r="A5" s="3" t="str">
        <f>'MAPE Double Exponen'!A5</f>
        <v>Oil A 1000 LT</v>
      </c>
      <c r="B5" s="7">
        <v>0</v>
      </c>
      <c r="C5" s="7">
        <v>44.433469298806635</v>
      </c>
      <c r="D5" s="7">
        <v>1.1612797762930303</v>
      </c>
      <c r="E5" s="7">
        <v>24.960136526745426</v>
      </c>
      <c r="F5" s="7">
        <v>38.584256713715718</v>
      </c>
      <c r="G5" s="7">
        <v>45.486131632437285</v>
      </c>
      <c r="H5" s="7">
        <v>52.666284863148441</v>
      </c>
      <c r="I5" s="7">
        <v>0.46145582241197908</v>
      </c>
      <c r="J5" s="7">
        <v>406.30336185077016</v>
      </c>
      <c r="K5" s="7">
        <v>90.743586689593286</v>
      </c>
      <c r="L5" s="7">
        <v>53.380057871479103</v>
      </c>
      <c r="M5" s="7">
        <v>11.907184541001802</v>
      </c>
    </row>
    <row r="6" spans="1:13" x14ac:dyDescent="0.3">
      <c r="A6" s="3" t="str">
        <f>'MAPE Double Exponen'!A6</f>
        <v>Oil B 20 LT</v>
      </c>
      <c r="B6" s="7">
        <v>0</v>
      </c>
      <c r="C6" s="7">
        <v>45.648930017351077</v>
      </c>
      <c r="D6" s="7">
        <v>26.370964209050669</v>
      </c>
      <c r="E6" s="7">
        <v>1.3670540195245777</v>
      </c>
      <c r="F6" s="7">
        <v>85.137684473582851</v>
      </c>
      <c r="G6" s="7">
        <v>168.64964201457002</v>
      </c>
      <c r="H6" s="7">
        <v>91.263247530341246</v>
      </c>
      <c r="I6" s="7">
        <v>11.625557620681622</v>
      </c>
      <c r="J6" s="7">
        <v>3.4488147183621245</v>
      </c>
      <c r="K6" s="7">
        <v>49.48819837558149</v>
      </c>
      <c r="L6" s="7">
        <v>266.28713750137922</v>
      </c>
      <c r="M6" s="7">
        <v>141.30472806323408</v>
      </c>
    </row>
    <row r="7" spans="1:13" x14ac:dyDescent="0.3">
      <c r="A7" s="3" t="str">
        <f>'MAPE Double Exponen'!A7</f>
        <v>Oil B 200 LT</v>
      </c>
      <c r="B7" s="7">
        <v>0</v>
      </c>
      <c r="C7" s="7">
        <v>95.945198081163554</v>
      </c>
      <c r="D7" s="7">
        <v>57.088119107432824</v>
      </c>
      <c r="E7" s="7">
        <v>34.031107504812795</v>
      </c>
      <c r="F7" s="7">
        <v>42.439947712613041</v>
      </c>
      <c r="G7" s="7">
        <v>15.605609421414462</v>
      </c>
      <c r="H7" s="7">
        <v>60.493138172098639</v>
      </c>
      <c r="I7" s="7">
        <v>1.4561802716395149</v>
      </c>
      <c r="J7" s="7">
        <v>22.685837340289186</v>
      </c>
      <c r="K7" s="7">
        <v>29.881163103228246</v>
      </c>
      <c r="L7" s="7">
        <v>14.165482999946743</v>
      </c>
      <c r="M7" s="7">
        <v>12.740062859382531</v>
      </c>
    </row>
  </sheetData>
  <mergeCells count="2">
    <mergeCell ref="A1:A2"/>
    <mergeCell ref="B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62529-922A-405A-955A-3937555D6FD6}">
  <dimension ref="A1:J31"/>
  <sheetViews>
    <sheetView workbookViewId="0">
      <selection activeCell="D19" sqref="D19:E19"/>
    </sheetView>
  </sheetViews>
  <sheetFormatPr defaultColWidth="8.88671875" defaultRowHeight="14.4" x14ac:dyDescent="0.3"/>
  <cols>
    <col min="1" max="1" width="8.88671875" style="1"/>
    <col min="2" max="2" width="13.77734375" style="1" bestFit="1" customWidth="1"/>
    <col min="3" max="3" width="9.44140625" style="1" bestFit="1" customWidth="1"/>
    <col min="4" max="7" width="8.88671875" style="1"/>
    <col min="8" max="8" width="10.33203125" style="1" customWidth="1"/>
    <col min="9" max="16384" width="8.88671875" style="1"/>
  </cols>
  <sheetData>
    <row r="1" spans="1:10" x14ac:dyDescent="0.3">
      <c r="A1" s="30" t="s">
        <v>49</v>
      </c>
      <c r="B1" s="30" t="s">
        <v>36</v>
      </c>
      <c r="C1" s="38" t="s">
        <v>50</v>
      </c>
      <c r="D1" s="38"/>
      <c r="E1" s="38"/>
      <c r="F1" s="38"/>
      <c r="G1" s="38"/>
      <c r="H1" s="38"/>
    </row>
    <row r="2" spans="1:10" ht="17.399999999999999" customHeight="1" x14ac:dyDescent="0.3">
      <c r="A2" s="30"/>
      <c r="B2" s="30"/>
      <c r="C2" s="11" t="s">
        <v>51</v>
      </c>
      <c r="D2" s="30" t="s">
        <v>52</v>
      </c>
      <c r="E2" s="30"/>
      <c r="F2" s="30" t="s">
        <v>52</v>
      </c>
      <c r="G2" s="30"/>
      <c r="H2" s="11" t="s">
        <v>53</v>
      </c>
    </row>
    <row r="3" spans="1:10" x14ac:dyDescent="0.3">
      <c r="A3" s="22">
        <v>1</v>
      </c>
      <c r="B3" s="23" t="s">
        <v>61</v>
      </c>
      <c r="C3" s="24">
        <f>'Peramalan Double Exponen'!B8</f>
        <v>561802.96375228604</v>
      </c>
      <c r="D3" s="45" t="s">
        <v>54</v>
      </c>
      <c r="E3" s="46"/>
      <c r="F3" s="47" t="s">
        <v>54</v>
      </c>
      <c r="G3" s="47"/>
      <c r="H3" s="24">
        <f>'Peramalan Double Exponen'!B8</f>
        <v>561802.96375228604</v>
      </c>
    </row>
    <row r="4" spans="1:10" x14ac:dyDescent="0.3">
      <c r="A4" s="25">
        <f>+A3+1</f>
        <v>2</v>
      </c>
      <c r="B4" s="23" t="s">
        <v>62</v>
      </c>
      <c r="C4" s="24">
        <v>905702.15099800087</v>
      </c>
      <c r="D4" s="43" t="s">
        <v>54</v>
      </c>
      <c r="E4" s="44"/>
      <c r="F4" s="43" t="s">
        <v>54</v>
      </c>
      <c r="G4" s="44"/>
      <c r="H4" s="24">
        <v>905702.15099800087</v>
      </c>
    </row>
    <row r="5" spans="1:10" x14ac:dyDescent="0.3">
      <c r="A5" s="25">
        <f t="shared" ref="A5:A14" si="0">+A4+1</f>
        <v>3</v>
      </c>
      <c r="B5" s="23" t="s">
        <v>63</v>
      </c>
      <c r="C5" s="24">
        <v>911208.72159622447</v>
      </c>
      <c r="D5" s="43" t="s">
        <v>54</v>
      </c>
      <c r="E5" s="44"/>
      <c r="F5" s="43" t="s">
        <v>54</v>
      </c>
      <c r="G5" s="44"/>
      <c r="H5" s="24">
        <v>911208.72159622447</v>
      </c>
    </row>
    <row r="6" spans="1:10" x14ac:dyDescent="0.3">
      <c r="A6" s="25">
        <f t="shared" si="0"/>
        <v>4</v>
      </c>
      <c r="B6" s="23">
        <v>44652</v>
      </c>
      <c r="C6" s="24">
        <v>916715.29219444783</v>
      </c>
      <c r="D6" s="43" t="s">
        <v>54</v>
      </c>
      <c r="E6" s="44"/>
      <c r="F6" s="43" t="s">
        <v>54</v>
      </c>
      <c r="G6" s="44"/>
      <c r="H6" s="24">
        <v>916715.29219444783</v>
      </c>
      <c r="J6"/>
    </row>
    <row r="7" spans="1:10" x14ac:dyDescent="0.3">
      <c r="A7" s="25">
        <f t="shared" si="0"/>
        <v>5</v>
      </c>
      <c r="B7" s="23" t="s">
        <v>64</v>
      </c>
      <c r="C7" s="24">
        <v>922221.86279267143</v>
      </c>
      <c r="D7" s="43" t="s">
        <v>54</v>
      </c>
      <c r="E7" s="44"/>
      <c r="F7" s="43" t="s">
        <v>54</v>
      </c>
      <c r="G7" s="44"/>
      <c r="H7" s="24">
        <v>922221.86279267143</v>
      </c>
    </row>
    <row r="8" spans="1:10" x14ac:dyDescent="0.3">
      <c r="A8" s="25">
        <f t="shared" si="0"/>
        <v>6</v>
      </c>
      <c r="B8" s="23" t="s">
        <v>65</v>
      </c>
      <c r="C8" s="24">
        <v>927728.43339089502</v>
      </c>
      <c r="D8" s="43" t="s">
        <v>54</v>
      </c>
      <c r="E8" s="44"/>
      <c r="F8" s="43" t="s">
        <v>54</v>
      </c>
      <c r="G8" s="44"/>
      <c r="H8" s="24">
        <v>927728.43339089502</v>
      </c>
    </row>
    <row r="9" spans="1:10" x14ac:dyDescent="0.3">
      <c r="A9" s="25">
        <f t="shared" si="0"/>
        <v>7</v>
      </c>
      <c r="B9" s="23" t="s">
        <v>66</v>
      </c>
      <c r="C9" s="24">
        <v>933235.00398911838</v>
      </c>
      <c r="D9" s="43" t="s">
        <v>54</v>
      </c>
      <c r="E9" s="44"/>
      <c r="F9" s="43" t="s">
        <v>54</v>
      </c>
      <c r="G9" s="44"/>
      <c r="H9" s="24">
        <v>933235.00398911838</v>
      </c>
    </row>
    <row r="10" spans="1:10" x14ac:dyDescent="0.3">
      <c r="A10" s="25">
        <f t="shared" si="0"/>
        <v>8</v>
      </c>
      <c r="B10" s="23" t="s">
        <v>67</v>
      </c>
      <c r="C10" s="24">
        <v>938741.57458734175</v>
      </c>
      <c r="D10" s="43" t="s">
        <v>54</v>
      </c>
      <c r="E10" s="44"/>
      <c r="F10" s="43" t="s">
        <v>54</v>
      </c>
      <c r="G10" s="44"/>
      <c r="H10" s="24">
        <v>938741.57458734175</v>
      </c>
    </row>
    <row r="11" spans="1:10" x14ac:dyDescent="0.3">
      <c r="A11" s="25">
        <f t="shared" si="0"/>
        <v>9</v>
      </c>
      <c r="B11" s="23">
        <v>44805</v>
      </c>
      <c r="C11" s="24">
        <v>944248.14518556534</v>
      </c>
      <c r="D11" s="43" t="s">
        <v>54</v>
      </c>
      <c r="E11" s="44"/>
      <c r="F11" s="43" t="s">
        <v>54</v>
      </c>
      <c r="G11" s="44"/>
      <c r="H11" s="24">
        <v>944248.14518556534</v>
      </c>
    </row>
    <row r="12" spans="1:10" x14ac:dyDescent="0.3">
      <c r="A12" s="25">
        <f t="shared" si="0"/>
        <v>10</v>
      </c>
      <c r="B12" s="23" t="s">
        <v>68</v>
      </c>
      <c r="C12" s="24">
        <v>949754.71578378882</v>
      </c>
      <c r="D12" s="43" t="s">
        <v>54</v>
      </c>
      <c r="E12" s="44"/>
      <c r="F12" s="43" t="s">
        <v>54</v>
      </c>
      <c r="G12" s="44"/>
      <c r="H12" s="24">
        <v>949754.71578378882</v>
      </c>
    </row>
    <row r="13" spans="1:10" x14ac:dyDescent="0.3">
      <c r="A13" s="25">
        <f t="shared" si="0"/>
        <v>11</v>
      </c>
      <c r="B13" s="23">
        <v>44866</v>
      </c>
      <c r="C13" s="24">
        <v>955261.28638201219</v>
      </c>
      <c r="D13" s="43" t="s">
        <v>54</v>
      </c>
      <c r="E13" s="44"/>
      <c r="F13" s="43" t="s">
        <v>54</v>
      </c>
      <c r="G13" s="44"/>
      <c r="H13" s="24">
        <v>955261.28638201219</v>
      </c>
    </row>
    <row r="14" spans="1:10" x14ac:dyDescent="0.3">
      <c r="A14" s="25">
        <f t="shared" si="0"/>
        <v>12</v>
      </c>
      <c r="B14" s="23" t="s">
        <v>69</v>
      </c>
      <c r="C14" s="24">
        <v>960767.8569802359</v>
      </c>
      <c r="D14" s="43" t="s">
        <v>54</v>
      </c>
      <c r="E14" s="44"/>
      <c r="F14" s="43" t="s">
        <v>54</v>
      </c>
      <c r="G14" s="44"/>
      <c r="H14" s="24">
        <v>960767.8569802359</v>
      </c>
    </row>
    <row r="17" spans="1:8" x14ac:dyDescent="0.3">
      <c r="A17" s="30" t="s">
        <v>49</v>
      </c>
      <c r="B17" s="30" t="s">
        <v>36</v>
      </c>
      <c r="C17" s="38" t="s">
        <v>55</v>
      </c>
      <c r="D17" s="38"/>
      <c r="E17" s="38"/>
      <c r="F17" s="38"/>
      <c r="G17" s="38"/>
      <c r="H17" s="38"/>
    </row>
    <row r="18" spans="1:8" x14ac:dyDescent="0.3">
      <c r="A18" s="30"/>
      <c r="B18" s="30"/>
      <c r="C18" s="11" t="s">
        <v>56</v>
      </c>
      <c r="D18" s="30" t="s">
        <v>52</v>
      </c>
      <c r="E18" s="30"/>
      <c r="F18" s="30" t="s">
        <v>52</v>
      </c>
      <c r="G18" s="30"/>
      <c r="H18" s="11" t="s">
        <v>57</v>
      </c>
    </row>
    <row r="19" spans="1:8" x14ac:dyDescent="0.3">
      <c r="A19" s="22">
        <v>1</v>
      </c>
      <c r="B19" s="23" t="s">
        <v>61</v>
      </c>
      <c r="C19" s="26">
        <f>'Jam Kerja Tersedia'!D3</f>
        <v>14040</v>
      </c>
      <c r="D19" s="41">
        <f>'Peramalan Double Exponen'!B$11</f>
        <v>-3061</v>
      </c>
      <c r="E19" s="41"/>
      <c r="F19" s="41" t="s">
        <v>54</v>
      </c>
      <c r="G19" s="41"/>
      <c r="H19" s="26">
        <f>C19-D19</f>
        <v>17101</v>
      </c>
    </row>
    <row r="20" spans="1:8" x14ac:dyDescent="0.3">
      <c r="A20" s="25">
        <f>A19+1</f>
        <v>2</v>
      </c>
      <c r="B20" s="23" t="s">
        <v>62</v>
      </c>
      <c r="C20" s="26">
        <f>'Jam Kerja Tersedia'!D4</f>
        <v>14820</v>
      </c>
      <c r="D20" s="41">
        <f>'Peramalan Double Exponen'!C$11</f>
        <v>-1075</v>
      </c>
      <c r="E20" s="41"/>
      <c r="F20" s="38" t="s">
        <v>54</v>
      </c>
      <c r="G20" s="38"/>
      <c r="H20" s="26">
        <f t="shared" ref="H20:H30" si="1">C20-D20</f>
        <v>15895</v>
      </c>
    </row>
    <row r="21" spans="1:8" x14ac:dyDescent="0.3">
      <c r="A21" s="25">
        <f t="shared" ref="A21:A30" si="2">A20+1</f>
        <v>3</v>
      </c>
      <c r="B21" s="23" t="s">
        <v>63</v>
      </c>
      <c r="C21" s="26">
        <f>'Jam Kerja Tersedia'!D5</f>
        <v>17160</v>
      </c>
      <c r="D21" s="41">
        <f>'Peramalan Double Exponen'!D$11</f>
        <v>3439</v>
      </c>
      <c r="E21" s="41"/>
      <c r="F21" s="38" t="s">
        <v>54</v>
      </c>
      <c r="G21" s="38"/>
      <c r="H21" s="26">
        <f t="shared" si="1"/>
        <v>13721</v>
      </c>
    </row>
    <row r="22" spans="1:8" x14ac:dyDescent="0.3">
      <c r="A22" s="25">
        <f t="shared" si="2"/>
        <v>4</v>
      </c>
      <c r="B22" s="23">
        <v>44652</v>
      </c>
      <c r="C22" s="26">
        <f>'Jam Kerja Tersedia'!D6</f>
        <v>15600</v>
      </c>
      <c r="D22" s="41">
        <f>'Peramalan Double Exponen'!E$11</f>
        <v>154</v>
      </c>
      <c r="E22" s="41"/>
      <c r="F22" s="38" t="s">
        <v>54</v>
      </c>
      <c r="G22" s="38"/>
      <c r="H22" s="26">
        <f t="shared" si="1"/>
        <v>15446</v>
      </c>
    </row>
    <row r="23" spans="1:8" x14ac:dyDescent="0.3">
      <c r="A23" s="25">
        <f t="shared" si="2"/>
        <v>5</v>
      </c>
      <c r="B23" s="23" t="s">
        <v>64</v>
      </c>
      <c r="C23" s="26">
        <f>'Jam Kerja Tersedia'!D7</f>
        <v>11700</v>
      </c>
      <c r="D23" s="41">
        <f>'Peramalan Double Exponen'!F$11</f>
        <v>-7812</v>
      </c>
      <c r="E23" s="41"/>
      <c r="F23" s="38" t="s">
        <v>54</v>
      </c>
      <c r="G23" s="38"/>
      <c r="H23" s="26">
        <f t="shared" si="1"/>
        <v>19512</v>
      </c>
    </row>
    <row r="24" spans="1:8" x14ac:dyDescent="0.3">
      <c r="A24" s="25">
        <f t="shared" si="2"/>
        <v>6</v>
      </c>
      <c r="B24" s="23" t="s">
        <v>65</v>
      </c>
      <c r="C24" s="26">
        <f>'Jam Kerja Tersedia'!D8</f>
        <v>15600</v>
      </c>
      <c r="D24" s="41">
        <f>'Peramalan Double Exponen'!G$11</f>
        <v>-177</v>
      </c>
      <c r="E24" s="41"/>
      <c r="F24" s="38" t="s">
        <v>54</v>
      </c>
      <c r="G24" s="38"/>
      <c r="H24" s="26">
        <f t="shared" si="1"/>
        <v>15777</v>
      </c>
    </row>
    <row r="25" spans="1:8" x14ac:dyDescent="0.3">
      <c r="A25" s="25">
        <f t="shared" si="2"/>
        <v>7</v>
      </c>
      <c r="B25" s="23" t="s">
        <v>66</v>
      </c>
      <c r="C25" s="26">
        <f>'Jam Kerja Tersedia'!D9</f>
        <v>16380</v>
      </c>
      <c r="D25" s="41">
        <f>'Peramalan Double Exponen'!H$11</f>
        <v>1217</v>
      </c>
      <c r="E25" s="41"/>
      <c r="F25" s="38" t="s">
        <v>54</v>
      </c>
      <c r="G25" s="38"/>
      <c r="H25" s="26">
        <f t="shared" si="1"/>
        <v>15163</v>
      </c>
    </row>
    <row r="26" spans="1:8" x14ac:dyDescent="0.3">
      <c r="A26" s="25">
        <f t="shared" si="2"/>
        <v>8</v>
      </c>
      <c r="B26" s="23" t="s">
        <v>67</v>
      </c>
      <c r="C26" s="26">
        <f>'Jam Kerja Tersedia'!D10</f>
        <v>15600</v>
      </c>
      <c r="D26" s="41">
        <f>'Peramalan Double Exponen'!I$11</f>
        <v>-508</v>
      </c>
      <c r="E26" s="41"/>
      <c r="F26" s="38" t="s">
        <v>54</v>
      </c>
      <c r="G26" s="38"/>
      <c r="H26" s="26">
        <f t="shared" si="1"/>
        <v>16108</v>
      </c>
    </row>
    <row r="27" spans="1:8" x14ac:dyDescent="0.3">
      <c r="A27" s="25">
        <f t="shared" si="2"/>
        <v>9</v>
      </c>
      <c r="B27" s="23">
        <v>44805</v>
      </c>
      <c r="C27" s="26">
        <f>'Jam Kerja Tersedia'!D11</f>
        <v>17160</v>
      </c>
      <c r="D27" s="41">
        <f>'Peramalan Double Exponen'!J$11</f>
        <v>2446</v>
      </c>
      <c r="E27" s="41"/>
      <c r="F27" s="38" t="s">
        <v>54</v>
      </c>
      <c r="G27" s="38"/>
      <c r="H27" s="26">
        <f t="shared" si="1"/>
        <v>14714</v>
      </c>
    </row>
    <row r="28" spans="1:8" x14ac:dyDescent="0.3">
      <c r="A28" s="25">
        <f t="shared" si="2"/>
        <v>10</v>
      </c>
      <c r="B28" s="23" t="s">
        <v>68</v>
      </c>
      <c r="C28" s="26">
        <f>'Jam Kerja Tersedia'!D12</f>
        <v>15600</v>
      </c>
      <c r="D28" s="41">
        <f>'Peramalan Double Exponen'!K$11</f>
        <v>-839</v>
      </c>
      <c r="E28" s="41"/>
      <c r="F28" s="38" t="s">
        <v>54</v>
      </c>
      <c r="G28" s="38"/>
      <c r="H28" s="26">
        <f t="shared" si="1"/>
        <v>16439</v>
      </c>
    </row>
    <row r="29" spans="1:8" x14ac:dyDescent="0.3">
      <c r="A29" s="25">
        <f t="shared" si="2"/>
        <v>11</v>
      </c>
      <c r="B29" s="23">
        <v>44866</v>
      </c>
      <c r="C29" s="26">
        <f>'Jam Kerja Tersedia'!D13</f>
        <v>17160</v>
      </c>
      <c r="D29" s="41">
        <f>'Peramalan Double Exponen'!L$11</f>
        <v>2115</v>
      </c>
      <c r="E29" s="41"/>
      <c r="F29" s="38" t="s">
        <v>54</v>
      </c>
      <c r="G29" s="38"/>
      <c r="H29" s="26">
        <f t="shared" si="1"/>
        <v>15045</v>
      </c>
    </row>
    <row r="30" spans="1:8" x14ac:dyDescent="0.3">
      <c r="A30" s="25">
        <f t="shared" si="2"/>
        <v>12</v>
      </c>
      <c r="B30" s="23" t="s">
        <v>69</v>
      </c>
      <c r="C30" s="26">
        <f>'Jam Kerja Tersedia'!D14</f>
        <v>17940</v>
      </c>
      <c r="D30" s="41">
        <f>'Peramalan Double Exponen'!M$11</f>
        <v>3510</v>
      </c>
      <c r="E30" s="41"/>
      <c r="F30" s="38" t="s">
        <v>54</v>
      </c>
      <c r="G30" s="38"/>
      <c r="H30" s="26">
        <f t="shared" si="1"/>
        <v>14430</v>
      </c>
    </row>
    <row r="31" spans="1:8" x14ac:dyDescent="0.3">
      <c r="C31" s="27"/>
      <c r="D31" s="27"/>
      <c r="E31" s="27"/>
      <c r="F31" s="27"/>
      <c r="G31" s="27"/>
      <c r="H31" s="27"/>
    </row>
  </sheetData>
  <mergeCells count="58">
    <mergeCell ref="D3:E3"/>
    <mergeCell ref="F3:G3"/>
    <mergeCell ref="A1:A2"/>
    <mergeCell ref="B1:B2"/>
    <mergeCell ref="C1:H1"/>
    <mergeCell ref="D2:E2"/>
    <mergeCell ref="F2:G2"/>
    <mergeCell ref="D4:E4"/>
    <mergeCell ref="F4:G4"/>
    <mergeCell ref="D5:E5"/>
    <mergeCell ref="F5:G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A17:A18"/>
    <mergeCell ref="B17:B18"/>
    <mergeCell ref="C17:H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10E42-AB13-414A-A509-6B763BC760E4}">
  <dimension ref="A1:AG42"/>
  <sheetViews>
    <sheetView topLeftCell="M1" zoomScaleNormal="100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2" width="9.44140625" style="6" bestFit="1" customWidth="1"/>
    <col min="3" max="5" width="8.44140625" style="6" bestFit="1" customWidth="1"/>
    <col min="6" max="6" width="9.44140625" style="6" bestFit="1" customWidth="1"/>
    <col min="7" max="7" width="8.109375" style="6" bestFit="1" customWidth="1"/>
    <col min="8" max="8" width="6.44140625" style="6" bestFit="1" customWidth="1"/>
    <col min="9" max="9" width="9.44140625" style="6" bestFit="1" customWidth="1"/>
    <col min="10" max="10" width="7.109375" style="6" bestFit="1" customWidth="1"/>
    <col min="11" max="11" width="6.44140625" style="6" bestFit="1" customWidth="1"/>
    <col min="12" max="12" width="13.6640625" style="6" bestFit="1" customWidth="1"/>
    <col min="13" max="17" width="9.44140625" style="6" bestFit="1" customWidth="1"/>
    <col min="18" max="18" width="8.109375" style="6" bestFit="1" customWidth="1"/>
    <col min="19" max="19" width="7.109375" style="6" bestFit="1" customWidth="1"/>
    <col min="20" max="20" width="9.44140625" style="6" bestFit="1" customWidth="1"/>
    <col min="21" max="21" width="7.109375" style="6" bestFit="1" customWidth="1"/>
    <col min="22" max="22" width="6.44140625" style="6" bestFit="1" customWidth="1"/>
    <col min="23" max="23" width="14.109375" style="6" bestFit="1" customWidth="1"/>
    <col min="24" max="28" width="8.44140625" style="6" bestFit="1" customWidth="1"/>
    <col min="29" max="29" width="8.109375" style="6" bestFit="1" customWidth="1"/>
    <col min="30" max="30" width="7.109375" style="6" bestFit="1" customWidth="1"/>
    <col min="31" max="31" width="8.44140625" style="6" bestFit="1" customWidth="1"/>
    <col min="32" max="32" width="7.109375" style="6" bestFit="1" customWidth="1"/>
    <col min="33" max="33" width="6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Exponen'!$B$2</f>
        <v>12588.09</v>
      </c>
      <c r="D2" s="7">
        <f>'Double Exponen'!$B$2</f>
        <v>12588.09</v>
      </c>
      <c r="E2" s="7">
        <f>'triple exponen'!$B$2</f>
        <v>12588.09</v>
      </c>
      <c r="F2" s="7">
        <f>'Konstanta a triple'!$B$2</f>
        <v>12588.09</v>
      </c>
      <c r="G2" s="7">
        <f>'Konstanta b triple'!$B$2</f>
        <v>8.9826637212141056E-13</v>
      </c>
      <c r="H2" s="7">
        <f>'Konstanta c triple'!$B$2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Exponen'!$B$3</f>
        <v>459915.78</v>
      </c>
      <c r="O2" s="7">
        <f>'Double Exponen'!$B$3</f>
        <v>459915.78</v>
      </c>
      <c r="P2" s="7">
        <f>'triple exponen'!$B$3</f>
        <v>459915.78</v>
      </c>
      <c r="Q2" s="7">
        <f>'Konstanta a triple'!$B$3</f>
        <v>459915.78</v>
      </c>
      <c r="R2" s="7">
        <f>'Konstanta b triple'!$B$3</f>
        <v>1.4372261953942569E-11</v>
      </c>
      <c r="S2" s="7">
        <f>'Konstanta c triple'!$B$3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Exponen'!$B$6</f>
        <v>1033.08</v>
      </c>
      <c r="Z2" s="7">
        <f>'Double Exponen'!$B$6</f>
        <v>1033.08</v>
      </c>
      <c r="AA2" s="7">
        <f>'triple exponen'!$B$6</f>
        <v>1033.08</v>
      </c>
      <c r="AB2" s="7">
        <f>'Konstanta a triple'!$B$6</f>
        <v>1033.08</v>
      </c>
      <c r="AC2" s="7">
        <f>'Konstanta b triple'!$B$6</f>
        <v>0</v>
      </c>
      <c r="AD2" s="7">
        <f>'Konstanta c triple'!$B$6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Exponen'!$C$2</f>
        <v>11808.256000000001</v>
      </c>
      <c r="D3" s="7">
        <f>'Double Exponen'!$C$2</f>
        <v>12510.106600000001</v>
      </c>
      <c r="E3" s="7">
        <f>'triple exponen'!$C$2</f>
        <v>12580.291660000001</v>
      </c>
      <c r="F3" s="7">
        <f>'Konstanta a triple'!$C$2</f>
        <v>10474.73986</v>
      </c>
      <c r="G3" s="7">
        <f>'Konstanta b triple'!$C$2</f>
        <v>-222.25268999999963</v>
      </c>
      <c r="H3" s="7">
        <f>'Konstanta c triple'!$C$2</f>
        <v>-7.7983400000000005</v>
      </c>
      <c r="I3" s="7">
        <f>'Peramalan triple'!$C$2</f>
        <v>12588.09</v>
      </c>
      <c r="J3" s="7">
        <f>((B3-I3)/B3)*100</f>
        <v>-162.81309045357273</v>
      </c>
      <c r="K3" s="7">
        <f>ABS((B3-I3)/B3)*100</f>
        <v>162.81309045357273</v>
      </c>
      <c r="L3" s="7" t="str">
        <f>'Rekap 0,1'!J3</f>
        <v>Februari</v>
      </c>
      <c r="M3" s="7">
        <f>kg!$C$4</f>
        <v>397220.76</v>
      </c>
      <c r="N3" s="7">
        <f>'Single Exponen'!$C$3</f>
        <v>453646.27800000005</v>
      </c>
      <c r="O3" s="7">
        <f>'Double Exponen'!$C$3</f>
        <v>459288.82980000007</v>
      </c>
      <c r="P3" s="7">
        <f>'triple exponen'!$C$3</f>
        <v>459853.08498000004</v>
      </c>
      <c r="Q3" s="7">
        <f>'Konstanta a triple'!$C$3</f>
        <v>442925.42958</v>
      </c>
      <c r="R3" s="7">
        <f>'Konstanta b triple'!$C$3</f>
        <v>-1786.8080700000023</v>
      </c>
      <c r="S3" s="7">
        <f>'Konstanta c triple'!$C$3</f>
        <v>-62.695020000000468</v>
      </c>
      <c r="T3" s="7">
        <f>'Peramalan triple'!$C$3</f>
        <v>459915.78</v>
      </c>
      <c r="U3" s="7">
        <f t="shared" ref="U3:U13" si="0">((M3-T3)/M3)*100</f>
        <v>-15.783419778966239</v>
      </c>
      <c r="V3" s="7">
        <f t="shared" ref="V3:V13" si="1">ABS((M3-T3)/M3)*100</f>
        <v>15.783419778966239</v>
      </c>
      <c r="W3" s="7" t="str">
        <f>'Rekap 0,1'!S3</f>
        <v>Februari</v>
      </c>
      <c r="X3" s="7">
        <f>kg!$C$7</f>
        <v>25477.94</v>
      </c>
      <c r="Y3" s="7">
        <f>'Single Exponen'!$C$6</f>
        <v>3477.5659999999998</v>
      </c>
      <c r="Z3" s="7">
        <f>'Double Exponen'!$C$6</f>
        <v>1277.5285999999999</v>
      </c>
      <c r="AA3" s="7">
        <f>'triple exponen'!$C$6</f>
        <v>1057.52486</v>
      </c>
      <c r="AB3" s="7">
        <f>'Konstanta a triple'!$C$6</f>
        <v>7657.6370600000009</v>
      </c>
      <c r="AC3" s="7">
        <f>'Konstanta b triple'!$C$6</f>
        <v>696.67850999999996</v>
      </c>
      <c r="AD3" s="7">
        <f>'Konstanta c triple'!$C$6</f>
        <v>24.444860000000002</v>
      </c>
      <c r="AE3" s="7">
        <f>'Peramalan triple'!$C$6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Exponen'!$D$2</f>
        <v>12730.014400000002</v>
      </c>
      <c r="D4" s="7">
        <f>'Double Exponen'!$D$2</f>
        <v>12532.097380000001</v>
      </c>
      <c r="E4" s="7">
        <f>'triple exponen'!$D$2</f>
        <v>12575.472232</v>
      </c>
      <c r="F4" s="7">
        <f>'Konstanta a triple'!$D$2</f>
        <v>13169.223292000002</v>
      </c>
      <c r="G4" s="7">
        <f>'Konstanta b triple'!$D$2</f>
        <v>77.100652000001077</v>
      </c>
      <c r="H4" s="7">
        <f>'Konstanta c triple'!$D$2</f>
        <v>2.9789119999999976</v>
      </c>
      <c r="I4" s="7">
        <f>'Peramalan triple'!$D$2</f>
        <v>10248.588</v>
      </c>
      <c r="J4" s="7">
        <f t="shared" ref="J4:J13" si="2">((B4-I4)/B4)*100</f>
        <v>51.257176883301689</v>
      </c>
      <c r="K4" s="7">
        <f t="shared" ref="K4:K13" si="3">ABS((B4-I4)/B4)*100</f>
        <v>51.257176883301689</v>
      </c>
      <c r="L4" s="7" t="str">
        <f>'Rekap 0,1'!J4</f>
        <v>Maret</v>
      </c>
      <c r="M4" s="7">
        <f>kg!$D$4</f>
        <v>389238.98</v>
      </c>
      <c r="N4" s="7">
        <f>'Single Exponen'!$D$3</f>
        <v>447205.54820000002</v>
      </c>
      <c r="O4" s="7">
        <f>'Double Exponen'!$D$3</f>
        <v>458080.50164000009</v>
      </c>
      <c r="P4" s="7">
        <f>'triple exponen'!$D$3</f>
        <v>459675.82664600009</v>
      </c>
      <c r="Q4" s="7">
        <f>'Konstanta a triple'!$D$3</f>
        <v>427050.96632599988</v>
      </c>
      <c r="R4" s="7">
        <f>'Konstanta b triple'!$D$3</f>
        <v>-3327.7494690000267</v>
      </c>
      <c r="S4" s="7">
        <f>'Konstanta c triple'!$D$3</f>
        <v>-114.56331400000089</v>
      </c>
      <c r="T4" s="7">
        <f>'Peramalan triple'!$D$3</f>
        <v>441107.27399999998</v>
      </c>
      <c r="U4" s="7">
        <f t="shared" si="0"/>
        <v>-13.325565183630889</v>
      </c>
      <c r="V4" s="7">
        <f t="shared" si="1"/>
        <v>13.325565183630889</v>
      </c>
      <c r="W4" s="7" t="str">
        <f>'Rekap 0,1'!S4</f>
        <v>Maret</v>
      </c>
      <c r="X4" s="7">
        <f>kg!$D$7</f>
        <v>19497.02</v>
      </c>
      <c r="Y4" s="7">
        <f>'Single Exponen'!$D$6</f>
        <v>5079.5114000000003</v>
      </c>
      <c r="Z4" s="7">
        <f>'Double Exponen'!$D$6</f>
        <v>1657.7268799999999</v>
      </c>
      <c r="AA4" s="7">
        <f>'triple exponen'!$D$6</f>
        <v>1117.5450620000001</v>
      </c>
      <c r="AB4" s="7">
        <f>'Konstanta a triple'!$D$6</f>
        <v>11382.898622000004</v>
      </c>
      <c r="AC4" s="7">
        <f>'Konstanta b triple'!$D$6</f>
        <v>1038.3421070000002</v>
      </c>
      <c r="AD4" s="7">
        <f>'Konstanta c triple'!$D$6</f>
        <v>35.575342000000013</v>
      </c>
      <c r="AE4" s="7">
        <f>'Peramalan triple'!$D$6</f>
        <v>8366.5380000000005</v>
      </c>
      <c r="AF4" s="7">
        <f t="shared" ref="AF4:AF13" si="4">((X4-AE4)/X4)*100</f>
        <v>57.088119107432824</v>
      </c>
      <c r="AG4" s="7">
        <f t="shared" ref="AG4:AG13" si="5">ABS((X4-AE4)/X4)*100</f>
        <v>57.088119107432824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Exponen'!$E$2</f>
        <v>12567.109960000002</v>
      </c>
      <c r="D5" s="7">
        <f>'Double Exponen'!$E$2</f>
        <v>12535.598638000001</v>
      </c>
      <c r="E5" s="7">
        <f>'triple exponen'!$E$2</f>
        <v>12571.484872600002</v>
      </c>
      <c r="F5" s="7">
        <f>'Konstanta a triple'!$E$2</f>
        <v>12666.018838600005</v>
      </c>
      <c r="G5" s="7">
        <f>'Konstanta b triple'!$E$2</f>
        <v>18.894527100000467</v>
      </c>
      <c r="H5" s="7">
        <f>'Konstanta c triple'!$E$2</f>
        <v>0.83206860000001026</v>
      </c>
      <c r="I5" s="7">
        <f>'Peramalan triple'!$E$2</f>
        <v>13247.813400000003</v>
      </c>
      <c r="J5" s="7">
        <f t="shared" si="2"/>
        <v>-19.339241525740576</v>
      </c>
      <c r="K5" s="7">
        <f t="shared" si="3"/>
        <v>19.339241525740576</v>
      </c>
      <c r="L5" s="7" t="str">
        <f>'Rekap 0,1'!J5</f>
        <v>April</v>
      </c>
      <c r="M5" s="7">
        <f>kg!$E$4</f>
        <v>505904.1</v>
      </c>
      <c r="N5" s="7">
        <f>'Single Exponen'!$E$3</f>
        <v>453075.40338000003</v>
      </c>
      <c r="O5" s="7">
        <f>'Double Exponen'!$E$3</f>
        <v>457579.99181400007</v>
      </c>
      <c r="P5" s="7">
        <f>'triple exponen'!$E$3</f>
        <v>459466.24316280009</v>
      </c>
      <c r="Q5" s="7">
        <f>'Konstanta a triple'!$E$3</f>
        <v>445952.47786079999</v>
      </c>
      <c r="R5" s="7">
        <f>'Konstanta b triple'!$E$3</f>
        <v>-1098.5250861999825</v>
      </c>
      <c r="S5" s="7">
        <f>'Konstanta c triple'!$E$3</f>
        <v>-32.325149200000105</v>
      </c>
      <c r="T5" s="7">
        <f>'Peramalan triple'!$E$3</f>
        <v>423665.93519999983</v>
      </c>
      <c r="U5" s="7">
        <f t="shared" si="0"/>
        <v>16.255682608620912</v>
      </c>
      <c r="V5" s="7">
        <f t="shared" si="1"/>
        <v>16.255682608620912</v>
      </c>
      <c r="W5" s="7" t="str">
        <f>'Rekap 0,1'!S5</f>
        <v>April</v>
      </c>
      <c r="X5" s="7">
        <f>kg!$E$7</f>
        <v>18855.900000000001</v>
      </c>
      <c r="Y5" s="7">
        <f>'Single Exponen'!$E$6</f>
        <v>6457.1502600000003</v>
      </c>
      <c r="Z5" s="7">
        <f>'Double Exponen'!$E$6</f>
        <v>2137.669218</v>
      </c>
      <c r="AA5" s="7">
        <f>'triple exponen'!$E$6</f>
        <v>1219.5574776000001</v>
      </c>
      <c r="AB5" s="7">
        <f>'Konstanta a triple'!$E$6</f>
        <v>14178.000603599998</v>
      </c>
      <c r="AC5" s="7">
        <f>'Konstanta b triple'!$E$6</f>
        <v>1256.7982896000001</v>
      </c>
      <c r="AD5" s="7">
        <f>'Konstanta c triple'!$E$6</f>
        <v>41.992213600000014</v>
      </c>
      <c r="AE5" s="7">
        <f>'Peramalan triple'!$E$6</f>
        <v>12439.028400000005</v>
      </c>
      <c r="AF5" s="7">
        <f t="shared" si="4"/>
        <v>34.031107504812795</v>
      </c>
      <c r="AG5" s="7">
        <f t="shared" si="5"/>
        <v>34.031107504812795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Exponen'!$F$2</f>
        <v>12219.964964000003</v>
      </c>
      <c r="D6" s="7">
        <f>'Double Exponen'!$F$2</f>
        <v>12504.035270600003</v>
      </c>
      <c r="E6" s="7">
        <f>'triple exponen'!$F$2</f>
        <v>12564.739912400002</v>
      </c>
      <c r="F6" s="7">
        <f>'Konstanta a triple'!$F$2</f>
        <v>11712.528992600006</v>
      </c>
      <c r="G6" s="7">
        <f>'Konstanta b triple'!$F$2</f>
        <v>-82.578982199999615</v>
      </c>
      <c r="H6" s="7">
        <f>'Konstanta c triple'!$F$2</f>
        <v>-2.7576008000000183</v>
      </c>
      <c r="I6" s="7">
        <f>'Peramalan triple'!$F$2</f>
        <v>12685.329400000006</v>
      </c>
      <c r="J6" s="7">
        <f t="shared" si="2"/>
        <v>-39.465738605005093</v>
      </c>
      <c r="K6" s="7">
        <f t="shared" si="3"/>
        <v>39.465738605005093</v>
      </c>
      <c r="L6" s="7" t="str">
        <f>'Rekap 0,1'!J6</f>
        <v>Mei</v>
      </c>
      <c r="M6" s="7">
        <f>kg!$F$4</f>
        <v>201079.58</v>
      </c>
      <c r="N6" s="7">
        <f>'Single Exponen'!$F$3</f>
        <v>427875.82104200003</v>
      </c>
      <c r="O6" s="7">
        <f>'Double Exponen'!$F$3</f>
        <v>454609.57473680004</v>
      </c>
      <c r="P6" s="7">
        <f>'triple exponen'!$F$3</f>
        <v>458980.57632020011</v>
      </c>
      <c r="Q6" s="7">
        <f>'Konstanta a triple'!$F$3</f>
        <v>378779.31523579999</v>
      </c>
      <c r="R6" s="7">
        <f>'Konstanta b triple'!$F$3</f>
        <v>-8077.9592260999607</v>
      </c>
      <c r="S6" s="7">
        <f>'Konstanta c triple'!$F$3</f>
        <v>-276.08335939999944</v>
      </c>
      <c r="T6" s="7">
        <f>'Peramalan triple'!$F$3</f>
        <v>444837.79019999999</v>
      </c>
      <c r="U6" s="7">
        <f t="shared" si="0"/>
        <v>-121.22474604333271</v>
      </c>
      <c r="V6" s="7">
        <f t="shared" si="1"/>
        <v>121.22474604333271</v>
      </c>
      <c r="W6" s="7" t="str">
        <f>'Rekap 0,1'!S6</f>
        <v>Mei</v>
      </c>
      <c r="X6" s="7">
        <f>kg!$F$7</f>
        <v>26851.599999999999</v>
      </c>
      <c r="Y6" s="7">
        <f>'Single Exponen'!$F$6</f>
        <v>8496.5952340000003</v>
      </c>
      <c r="Z6" s="7">
        <f>'Double Exponen'!$F$6</f>
        <v>2773.5618196000005</v>
      </c>
      <c r="AA6" s="7">
        <f>'triple exponen'!$F$6</f>
        <v>1374.9579118000001</v>
      </c>
      <c r="AB6" s="7">
        <f>'Konstanta a triple'!$F$6</f>
        <v>18544.058154999999</v>
      </c>
      <c r="AC6" s="7">
        <f>'Konstanta b triple'!$F$6</f>
        <v>1623.5709456999996</v>
      </c>
      <c r="AD6" s="7">
        <f>'Konstanta c triple'!$F$6</f>
        <v>53.388018599999995</v>
      </c>
      <c r="AE6" s="7">
        <f>'Peramalan triple'!$F$6</f>
        <v>15455.794999999996</v>
      </c>
      <c r="AF6" s="7">
        <f t="shared" si="4"/>
        <v>42.439947712613041</v>
      </c>
      <c r="AG6" s="7">
        <f t="shared" si="5"/>
        <v>42.439947712613041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Exponen'!$G$2</f>
        <v>11816.504467600003</v>
      </c>
      <c r="D7" s="7">
        <f>'Double Exponen'!$G$2</f>
        <v>12435.282190300004</v>
      </c>
      <c r="E7" s="7">
        <f>'triple exponen'!$G$2</f>
        <v>12551.794140190003</v>
      </c>
      <c r="F7" s="7">
        <f>'Konstanta a triple'!$G$2</f>
        <v>10695.460972089997</v>
      </c>
      <c r="G7" s="7">
        <f>'Konstanta b triple'!$G$2</f>
        <v>-183.46810248499949</v>
      </c>
      <c r="H7" s="7">
        <f>'Konstanta c triple'!$G$2</f>
        <v>-6.2008120100000266</v>
      </c>
      <c r="I7" s="7">
        <f>'Peramalan triple'!$G$2</f>
        <v>11628.571210000007</v>
      </c>
      <c r="J7" s="7">
        <f t="shared" si="2"/>
        <v>-42.06548288651944</v>
      </c>
      <c r="K7" s="7">
        <f t="shared" si="3"/>
        <v>42.06548288651944</v>
      </c>
      <c r="L7" s="7" t="str">
        <f>'Rekap 0,1'!J7</f>
        <v>Juni</v>
      </c>
      <c r="M7" s="7">
        <f>kg!$G$4</f>
        <v>378271.8</v>
      </c>
      <c r="N7" s="7">
        <f>'Single Exponen'!$G$3</f>
        <v>422915.41893780004</v>
      </c>
      <c r="O7" s="7">
        <f>'Double Exponen'!$G$3</f>
        <v>451440.15915690007</v>
      </c>
      <c r="P7" s="7">
        <f>'triple exponen'!$G$3</f>
        <v>458226.53460387012</v>
      </c>
      <c r="Q7" s="7">
        <f>'Konstanta a triple'!$G$3</f>
        <v>372652.31394657015</v>
      </c>
      <c r="R7" s="7">
        <f>'Konstanta b triple'!$G$3</f>
        <v>-8134.3507439049854</v>
      </c>
      <c r="S7" s="7">
        <f>'Konstanta c triple'!$G$3</f>
        <v>-268.37487372999976</v>
      </c>
      <c r="T7" s="7">
        <f>'Peramalan triple'!$G$3</f>
        <v>370563.31433000002</v>
      </c>
      <c r="U7" s="7">
        <f t="shared" si="0"/>
        <v>2.0378166360801848</v>
      </c>
      <c r="V7" s="7">
        <f t="shared" si="1"/>
        <v>2.0378166360801848</v>
      </c>
      <c r="W7" s="7" t="str">
        <f>'Rekap 0,1'!S7</f>
        <v>Juni</v>
      </c>
      <c r="X7" s="7">
        <f>kg!$G$7</f>
        <v>17468.29</v>
      </c>
      <c r="Y7" s="7">
        <f>'Single Exponen'!$G$6</f>
        <v>9393.7647106000004</v>
      </c>
      <c r="Z7" s="7">
        <f>'Double Exponen'!$G$6</f>
        <v>3435.5821087000004</v>
      </c>
      <c r="AA7" s="7">
        <f>'triple exponen'!$G$6</f>
        <v>1581.0203314900002</v>
      </c>
      <c r="AB7" s="7">
        <f>'Konstanta a triple'!$G$6</f>
        <v>19455.568137189999</v>
      </c>
      <c r="AC7" s="7">
        <f>'Konstanta b triple'!$G$6</f>
        <v>1599.2670206650002</v>
      </c>
      <c r="AD7" s="7">
        <f>'Konstanta c triple'!$G$6</f>
        <v>50.661985489999999</v>
      </c>
      <c r="AE7" s="7">
        <f>'Peramalan triple'!$G$6</f>
        <v>20194.323110000001</v>
      </c>
      <c r="AF7" s="7">
        <f t="shared" si="4"/>
        <v>-15.605609421414462</v>
      </c>
      <c r="AG7" s="7">
        <f t="shared" si="5"/>
        <v>15.605609421414462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Exponen'!$H$2</f>
        <v>12461.394020840004</v>
      </c>
      <c r="D8" s="7">
        <f>'Double Exponen'!$H$2</f>
        <v>12437.893373354003</v>
      </c>
      <c r="E8" s="7">
        <f>'triple exponen'!$H$2</f>
        <v>12540.404063506403</v>
      </c>
      <c r="F8" s="7">
        <f>'Konstanta a triple'!$H$2</f>
        <v>12610.906005964405</v>
      </c>
      <c r="G8" s="7">
        <f>'Konstanta b triple'!$H$2</f>
        <v>31.391550292400893</v>
      </c>
      <c r="H8" s="7">
        <f>'Konstanta c triple'!$H$2</f>
        <v>1.5556955263999965</v>
      </c>
      <c r="I8" s="7">
        <f>'Peramalan triple'!$H$2</f>
        <v>10508.892463599997</v>
      </c>
      <c r="J8" s="7">
        <f t="shared" si="2"/>
        <v>42.465577191849093</v>
      </c>
      <c r="K8" s="7">
        <f t="shared" si="3"/>
        <v>42.465577191849093</v>
      </c>
      <c r="L8" s="7" t="str">
        <f>'Rekap 0,1'!J8</f>
        <v>Juli</v>
      </c>
      <c r="M8" s="7">
        <f>kg!$H$4</f>
        <v>463478.68</v>
      </c>
      <c r="N8" s="7">
        <f>'Single Exponen'!$H$3</f>
        <v>426971.74504402006</v>
      </c>
      <c r="O8" s="7">
        <f>'Double Exponen'!$H$3</f>
        <v>448993.31774561212</v>
      </c>
      <c r="P8" s="7">
        <f>'triple exponen'!$H$3</f>
        <v>457303.2129180443</v>
      </c>
      <c r="Q8" s="7">
        <f>'Konstanta a triple'!$H$3</f>
        <v>391238.49481326807</v>
      </c>
      <c r="R8" s="7">
        <f>'Konstanta b triple'!$H$3</f>
        <v>-5578.5208469602985</v>
      </c>
      <c r="S8" s="7">
        <f>'Konstanta c triple'!$H$3</f>
        <v>-169.27996949580094</v>
      </c>
      <c r="T8" s="7">
        <f>'Peramalan triple'!$H$3</f>
        <v>364383.77576580015</v>
      </c>
      <c r="U8" s="7">
        <f t="shared" si="0"/>
        <v>21.380682329163413</v>
      </c>
      <c r="V8" s="7">
        <f t="shared" si="1"/>
        <v>21.380682329163413</v>
      </c>
      <c r="W8" s="7" t="str">
        <f>'Rekap 0,1'!S8</f>
        <v>Juli</v>
      </c>
      <c r="X8" s="7">
        <f>kg!$H$7</f>
        <v>53358.239999999998</v>
      </c>
      <c r="Y8" s="7">
        <f>'Single Exponen'!$H$6</f>
        <v>13790.212239540002</v>
      </c>
      <c r="Z8" s="7">
        <f>'Double Exponen'!$H$6</f>
        <v>4471.0451217840009</v>
      </c>
      <c r="AA8" s="7">
        <f>'triple exponen'!$H$6</f>
        <v>1870.0228105194005</v>
      </c>
      <c r="AB8" s="7">
        <f>'Konstanta a triple'!$H$6</f>
        <v>29827.524163787406</v>
      </c>
      <c r="AC8" s="7">
        <f>'Konstanta b triple'!$H$6</f>
        <v>2569.8541108629006</v>
      </c>
      <c r="AD8" s="7">
        <f>'Konstanta c triple'!$H$6</f>
        <v>82.940059339400008</v>
      </c>
      <c r="AE8" s="7">
        <f>'Peramalan triple'!$H$6</f>
        <v>21080.166150599998</v>
      </c>
      <c r="AF8" s="7">
        <f t="shared" si="4"/>
        <v>60.493138172098639</v>
      </c>
      <c r="AG8" s="7">
        <f t="shared" si="5"/>
        <v>60.493138172098639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Exponen'!$I$2</f>
        <v>12319.722618756005</v>
      </c>
      <c r="D9" s="7">
        <f>'Double Exponen'!$I$2</f>
        <v>12426.076297894204</v>
      </c>
      <c r="E9" s="7">
        <f>'triple exponen'!$I$2</f>
        <v>12528.971286945183</v>
      </c>
      <c r="F9" s="7">
        <f>'Konstanta a triple'!$I$2</f>
        <v>12209.910249530592</v>
      </c>
      <c r="G9" s="7">
        <f>'Konstanta b triple'!$I$2</f>
        <v>-12.607023195769328</v>
      </c>
      <c r="H9" s="7">
        <f>'Konstanta c triple'!$I$2</f>
        <v>-4.2699877620000257E-2</v>
      </c>
      <c r="I9" s="7">
        <f>'Peramalan triple'!$I$2</f>
        <v>12643.075404020006</v>
      </c>
      <c r="J9" s="7">
        <f t="shared" si="2"/>
        <v>-14.472084333996149</v>
      </c>
      <c r="K9" s="7">
        <f t="shared" si="3"/>
        <v>14.472084333996149</v>
      </c>
      <c r="L9" s="7" t="str">
        <f>'Rekap 0,1'!J9</f>
        <v>Agustus</v>
      </c>
      <c r="M9" s="7">
        <f>kg!$I$4</f>
        <v>511860.86</v>
      </c>
      <c r="N9" s="7">
        <f>'Single Exponen'!$I$3</f>
        <v>435460.6565396181</v>
      </c>
      <c r="O9" s="7">
        <f>'Double Exponen'!$I$3</f>
        <v>447640.05162501271</v>
      </c>
      <c r="P9" s="7">
        <f>'triple exponen'!$I$3</f>
        <v>456336.89678874111</v>
      </c>
      <c r="Q9" s="7">
        <f>'Konstanta a triple'!$I$3</f>
        <v>419798.71153255727</v>
      </c>
      <c r="R9" s="7">
        <f>'Konstanta b triple'!$I$3</f>
        <v>-2148.663324930541</v>
      </c>
      <c r="S9" s="7">
        <f>'Konstanta c triple'!$I$3</f>
        <v>-42.994443477360669</v>
      </c>
      <c r="T9" s="7">
        <f>'Peramalan triple'!$I$3</f>
        <v>385575.33398155984</v>
      </c>
      <c r="U9" s="7">
        <f t="shared" si="0"/>
        <v>24.671846567530118</v>
      </c>
      <c r="V9" s="7">
        <f t="shared" si="1"/>
        <v>24.671846567530118</v>
      </c>
      <c r="W9" s="7" t="str">
        <f>'Rekap 0,1'!S9</f>
        <v>Agustus</v>
      </c>
      <c r="X9" s="7">
        <f>kg!$I$7</f>
        <v>31973.26</v>
      </c>
      <c r="Y9" s="7">
        <f>'Single Exponen'!$I$6</f>
        <v>15608.517015586003</v>
      </c>
      <c r="Z9" s="7">
        <f>'Double Exponen'!$I$6</f>
        <v>5584.7923111642012</v>
      </c>
      <c r="AA9" s="7">
        <f>'triple exponen'!$I$6</f>
        <v>2241.4997605838807</v>
      </c>
      <c r="AB9" s="7">
        <f>'Konstanta a triple'!$I$6</f>
        <v>32312.673873849286</v>
      </c>
      <c r="AC9" s="7">
        <f>'Konstanta b triple'!$I$6</f>
        <v>2639.5249035291813</v>
      </c>
      <c r="AD9" s="7">
        <f>'Konstanta c triple'!$I$6</f>
        <v>82.474471035080029</v>
      </c>
      <c r="AE9" s="7">
        <f>'Peramalan triple'!$I$6</f>
        <v>32438.848304320007</v>
      </c>
      <c r="AF9" s="7">
        <f t="shared" si="4"/>
        <v>-1.4561802716395149</v>
      </c>
      <c r="AG9" s="7">
        <f t="shared" si="5"/>
        <v>1.4561802716395149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Exponen'!$J$2</f>
        <v>12176.705356880404</v>
      </c>
      <c r="D10" s="7">
        <f>'Double Exponen'!$J$2</f>
        <v>12401.139203792825</v>
      </c>
      <c r="E10" s="7">
        <f>'triple exponen'!$J$2</f>
        <v>12516.188078629948</v>
      </c>
      <c r="F10" s="7">
        <f>'Konstanta a triple'!$J$2</f>
        <v>11842.886537892682</v>
      </c>
      <c r="G10" s="7">
        <f>'Konstanta b triple'!$J$2</f>
        <v>-49.920081550676343</v>
      </c>
      <c r="H10" s="7">
        <f>'Konstanta c triple'!$J$2</f>
        <v>-1.3504317540160338</v>
      </c>
      <c r="I10" s="7">
        <f>'Peramalan triple'!$J$2</f>
        <v>12197.281876396013</v>
      </c>
      <c r="J10" s="7">
        <f t="shared" si="2"/>
        <v>-12.009053417230408</v>
      </c>
      <c r="K10" s="7">
        <f t="shared" si="3"/>
        <v>12.009053417230408</v>
      </c>
      <c r="L10" s="7" t="str">
        <f>'Rekap 0,1'!J10</f>
        <v>September</v>
      </c>
      <c r="M10" s="7">
        <f>kg!$J$4</f>
        <v>513170.2</v>
      </c>
      <c r="N10" s="7">
        <f>'Single Exponen'!$J$3</f>
        <v>443231.61088565632</v>
      </c>
      <c r="O10" s="7">
        <f>'Double Exponen'!$J$3</f>
        <v>447199.20755107712</v>
      </c>
      <c r="P10" s="7">
        <f>'triple exponen'!$J$3</f>
        <v>455423.12786497473</v>
      </c>
      <c r="Q10" s="7">
        <f>'Konstanta a triple'!$J$3</f>
        <v>443520.33786871209</v>
      </c>
      <c r="R10" s="7">
        <f>'Konstanta b triple'!$J$3</f>
        <v>531.27922849427841</v>
      </c>
      <c r="S10" s="7">
        <f>'Konstanta c triple'!$J$3</f>
        <v>52.547205536750603</v>
      </c>
      <c r="T10" s="7">
        <f>'Peramalan triple'!$J$3</f>
        <v>417628.55098588805</v>
      </c>
      <c r="U10" s="7">
        <f t="shared" si="0"/>
        <v>18.617926180068903</v>
      </c>
      <c r="V10" s="7">
        <f t="shared" si="1"/>
        <v>18.617926180068903</v>
      </c>
      <c r="W10" s="7" t="str">
        <f>'Rekap 0,1'!S10</f>
        <v>September</v>
      </c>
      <c r="X10" s="7">
        <f>kg!$J$7</f>
        <v>28522.799999999999</v>
      </c>
      <c r="Y10" s="7">
        <f>'Single Exponen'!$J$6</f>
        <v>16899.945314027402</v>
      </c>
      <c r="Z10" s="7">
        <f>'Double Exponen'!$J$6</f>
        <v>6716.3076114505211</v>
      </c>
      <c r="AA10" s="7">
        <f>'triple exponen'!$J$6</f>
        <v>2688.9805456705449</v>
      </c>
      <c r="AB10" s="7">
        <f>'Konstanta a triple'!$J$6</f>
        <v>33239.893653401188</v>
      </c>
      <c r="AC10" s="7">
        <f>'Konstanta b triple'!$J$6</f>
        <v>2537.5862481967242</v>
      </c>
      <c r="AD10" s="7">
        <f>'Konstanta c triple'!$J$6</f>
        <v>76.00383502218402</v>
      </c>
      <c r="AE10" s="7">
        <f>'Peramalan triple'!$J$6</f>
        <v>34993.436012896003</v>
      </c>
      <c r="AF10" s="7">
        <f t="shared" si="4"/>
        <v>-22.685837340289186</v>
      </c>
      <c r="AG10" s="7">
        <f t="shared" si="5"/>
        <v>22.685837340289186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Exponen'!$K$2</f>
        <v>11799.668821192365</v>
      </c>
      <c r="D11" s="7">
        <f>'Double Exponen'!$K$2</f>
        <v>12340.99216553278</v>
      </c>
      <c r="E11" s="7">
        <f>'triple exponen'!$K$2</f>
        <v>12498.668487320232</v>
      </c>
      <c r="F11" s="7">
        <f>'Konstanta a triple'!$K$2</f>
        <v>10874.698454298989</v>
      </c>
      <c r="G11" s="7">
        <f>'Konstanta b triple'!$K$2</f>
        <v>-147.77012365794408</v>
      </c>
      <c r="H11" s="7">
        <f>'Konstanta c triple'!$K$2</f>
        <v>-4.7363829944810236</v>
      </c>
      <c r="I11" s="7">
        <f>'Peramalan triple'!$K$2</f>
        <v>11792.291240464998</v>
      </c>
      <c r="J11" s="7">
        <f t="shared" si="2"/>
        <v>-40.278542629313087</v>
      </c>
      <c r="K11" s="7">
        <f t="shared" si="3"/>
        <v>40.278542629313087</v>
      </c>
      <c r="L11" s="7" t="str">
        <f>'Rekap 0,1'!J11</f>
        <v>Oktober</v>
      </c>
      <c r="M11" s="7">
        <f>kg!$K$4</f>
        <v>525723.46</v>
      </c>
      <c r="N11" s="7">
        <f>'Single Exponen'!$K$3</f>
        <v>451480.79579709074</v>
      </c>
      <c r="O11" s="7">
        <f>'Double Exponen'!$K$3</f>
        <v>447627.36637567851</v>
      </c>
      <c r="P11" s="7">
        <f>'triple exponen'!$K$3</f>
        <v>454643.55171604513</v>
      </c>
      <c r="Q11" s="7">
        <f>'Konstanta a triple'!$K$3</f>
        <v>466203.83998028177</v>
      </c>
      <c r="R11" s="7">
        <f>'Konstanta b triple'!$K$3</f>
        <v>2910.7251590817309</v>
      </c>
      <c r="S11" s="7">
        <f>'Konstanta c triple'!$K$3</f>
        <v>134.19277483677595</v>
      </c>
      <c r="T11" s="7">
        <f>'Peramalan triple'!$K$3</f>
        <v>444077.89069997473</v>
      </c>
      <c r="U11" s="7">
        <f t="shared" si="0"/>
        <v>15.53013618605212</v>
      </c>
      <c r="V11" s="7">
        <f t="shared" si="1"/>
        <v>15.53013618605212</v>
      </c>
      <c r="W11" s="7" t="str">
        <f>'Rekap 0,1'!S11</f>
        <v>Oktober</v>
      </c>
      <c r="X11" s="7">
        <f>kg!$K$7</f>
        <v>51078.26</v>
      </c>
      <c r="Y11" s="7">
        <f>'Single Exponen'!$K$6</f>
        <v>20317.776782624664</v>
      </c>
      <c r="Z11" s="7">
        <f>'Double Exponen'!$K$6</f>
        <v>8076.454528567936</v>
      </c>
      <c r="AA11" s="7">
        <f>'triple exponen'!$K$6</f>
        <v>3227.7279439602844</v>
      </c>
      <c r="AB11" s="7">
        <f>'Konstanta a triple'!$K$6</f>
        <v>39951.694706130467</v>
      </c>
      <c r="AC11" s="7">
        <f>'Konstanta b triple'!$K$6</f>
        <v>3048.5792613743024</v>
      </c>
      <c r="AD11" s="7">
        <f>'Konstanta c triple'!$K$6</f>
        <v>91.266613203075025</v>
      </c>
      <c r="AE11" s="7">
        <f>'Peramalan triple'!$K$6</f>
        <v>35815.481819109009</v>
      </c>
      <c r="AF11" s="7">
        <f t="shared" si="4"/>
        <v>29.881163103228246</v>
      </c>
      <c r="AG11" s="7">
        <f t="shared" si="5"/>
        <v>29.881163103228246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Exponen'!$L$2</f>
        <v>12434.69693907313</v>
      </c>
      <c r="D12" s="7">
        <f>'Double Exponen'!$L$2</f>
        <v>12350.362642886816</v>
      </c>
      <c r="E12" s="7">
        <f>'triple exponen'!$L$2</f>
        <v>12483.83790287689</v>
      </c>
      <c r="F12" s="7">
        <f>'Konstanta a triple'!$L$2</f>
        <v>12736.840791435832</v>
      </c>
      <c r="G12" s="7">
        <f>'Konstanta b triple'!$L$2</f>
        <v>59.117104381976439</v>
      </c>
      <c r="H12" s="7">
        <f>'Konstanta c triple'!$L$2</f>
        <v>2.6890068663751778</v>
      </c>
      <c r="I12" s="7">
        <f>'Peramalan triple'!$L$2</f>
        <v>10724.560139143805</v>
      </c>
      <c r="J12" s="7">
        <f t="shared" si="2"/>
        <v>40.911351606236906</v>
      </c>
      <c r="K12" s="7">
        <f t="shared" si="3"/>
        <v>40.911351606236906</v>
      </c>
      <c r="L12" s="7" t="str">
        <f>'Rekap 0,1'!J12</f>
        <v>November</v>
      </c>
      <c r="M12" s="7">
        <f>kg!$L$4</f>
        <v>480711.96</v>
      </c>
      <c r="N12" s="7">
        <f>'Single Exponen'!$L$3</f>
        <v>454403.9122173817</v>
      </c>
      <c r="O12" s="7">
        <f>'Double Exponen'!$L$3</f>
        <v>448305.02095984883</v>
      </c>
      <c r="P12" s="7">
        <f>'triple exponen'!$L$3</f>
        <v>454009.69864042551</v>
      </c>
      <c r="Q12" s="7">
        <f>'Konstanta a triple'!$L$3</f>
        <v>472306.37241302413</v>
      </c>
      <c r="R12" s="7">
        <f>'Konstanta b triple'!$L$3</f>
        <v>3373.5314404052383</v>
      </c>
      <c r="S12" s="7">
        <f>'Konstanta c triple'!$L$3</f>
        <v>145.72307330999456</v>
      </c>
      <c r="T12" s="7">
        <f>'Peramalan triple'!$L$3</f>
        <v>469181.66152678191</v>
      </c>
      <c r="U12" s="7">
        <f t="shared" si="0"/>
        <v>2.3985878098847606</v>
      </c>
      <c r="V12" s="7">
        <f t="shared" si="1"/>
        <v>2.3985878098847606</v>
      </c>
      <c r="W12" s="7" t="str">
        <f>'Rekap 0,1'!S12</f>
        <v>November</v>
      </c>
      <c r="X12" s="7">
        <f>kg!$L$7</f>
        <v>50149.88</v>
      </c>
      <c r="Y12" s="7">
        <f>'Single Exponen'!$L$6</f>
        <v>23300.987104362201</v>
      </c>
      <c r="Z12" s="7">
        <f>'Double Exponen'!$L$6</f>
        <v>9598.9077861473634</v>
      </c>
      <c r="AA12" s="7">
        <f>'triple exponen'!$L$6</f>
        <v>3864.8459281789924</v>
      </c>
      <c r="AB12" s="7">
        <f>'Konstanta a triple'!$L$6</f>
        <v>44971.083882823506</v>
      </c>
      <c r="AC12" s="7">
        <f>'Konstanta b triple'!$L$6</f>
        <v>3342.3090972653476</v>
      </c>
      <c r="AD12" s="7">
        <f>'Konstanta c triple'!$L$6</f>
        <v>98.370585928968737</v>
      </c>
      <c r="AE12" s="7">
        <f>'Peramalan triple'!$L$6</f>
        <v>43045.907274106306</v>
      </c>
      <c r="AF12" s="7">
        <f t="shared" si="4"/>
        <v>14.165482999946743</v>
      </c>
      <c r="AG12" s="7">
        <f t="shared" si="5"/>
        <v>14.165482999946743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Exponen'!$M$2</f>
        <v>12381.766245165818</v>
      </c>
      <c r="D13" s="7">
        <f>'Double Exponen'!$M$2</f>
        <v>12353.503003114716</v>
      </c>
      <c r="E13" s="7">
        <f>'triple exponen'!$M$2</f>
        <v>12470.804412900672</v>
      </c>
      <c r="F13" s="7">
        <f>'Konstanta a triple'!$M$2</f>
        <v>12555.594139053979</v>
      </c>
      <c r="G13" s="7">
        <f>'Konstanta b triple'!$M$2</f>
        <v>36.386607869698096</v>
      </c>
      <c r="H13" s="7">
        <f>'Konstanta c triple'!$M$2</f>
        <v>1.7970944671241691</v>
      </c>
      <c r="I13" s="7">
        <f>'Peramalan triple'!$M$2</f>
        <v>12797.302399250995</v>
      </c>
      <c r="J13" s="7">
        <f t="shared" si="2"/>
        <v>-7.4916688932575566</v>
      </c>
      <c r="K13" s="7">
        <f t="shared" si="3"/>
        <v>7.4916688932575566</v>
      </c>
      <c r="L13" s="7" t="str">
        <f>'Rekap 0,1'!J13</f>
        <v>Desember</v>
      </c>
      <c r="M13" s="7">
        <f>kg!$M$4</f>
        <v>428532.64</v>
      </c>
      <c r="N13" s="7">
        <f>'Single Exponen'!$M$3</f>
        <v>451816.78499564354</v>
      </c>
      <c r="O13" s="7">
        <f>'Double Exponen'!$M$3</f>
        <v>448656.19736342831</v>
      </c>
      <c r="P13" s="7">
        <f>'triple exponen'!$M$3</f>
        <v>453474.34851272579</v>
      </c>
      <c r="Q13" s="7">
        <f>'Konstanta a triple'!$M$3</f>
        <v>462956.1114093716</v>
      </c>
      <c r="R13" s="7">
        <f>'Konstanta b triple'!$M$3</f>
        <v>2173.4809400978133</v>
      </c>
      <c r="S13" s="7">
        <f>'Konstanta c triple'!$M$3</f>
        <v>98.502947919910071</v>
      </c>
      <c r="T13" s="7">
        <f>'Peramalan triple'!$M$3</f>
        <v>475752.76539008436</v>
      </c>
      <c r="U13" s="7">
        <f t="shared" si="0"/>
        <v>-11.019026553049574</v>
      </c>
      <c r="V13" s="7">
        <f t="shared" si="1"/>
        <v>11.019026553049574</v>
      </c>
      <c r="W13" s="7" t="str">
        <f>'Rekap 0,1'!S13</f>
        <v>Desember</v>
      </c>
      <c r="X13" s="7">
        <f>kg!$M$7</f>
        <v>42897.42</v>
      </c>
      <c r="Y13" s="7">
        <f>'Single Exponen'!$M$6</f>
        <v>25260.630393925981</v>
      </c>
      <c r="Z13" s="7">
        <f>'Double Exponen'!$M$6</f>
        <v>11165.080046925226</v>
      </c>
      <c r="AA13" s="7">
        <f>'triple exponen'!$M$6</f>
        <v>4594.8693400536158</v>
      </c>
      <c r="AB13" s="7">
        <f>'Konstanta a triple'!$M$6</f>
        <v>46881.520381055881</v>
      </c>
      <c r="AC13" s="7">
        <f>'Konstanta b triple'!$M$6</f>
        <v>3284.922672412295</v>
      </c>
      <c r="AD13" s="7">
        <f>'Konstanta c triple'!$M$6</f>
        <v>92.905427655915375</v>
      </c>
      <c r="AE13" s="7">
        <f>'Peramalan triple'!$M$6</f>
        <v>48362.578273053332</v>
      </c>
      <c r="AF13" s="7">
        <f t="shared" si="4"/>
        <v>-12.740062859382531</v>
      </c>
      <c r="AG13" s="7">
        <f t="shared" si="5"/>
        <v>12.740062859382531</v>
      </c>
    </row>
    <row r="14" spans="1:33" x14ac:dyDescent="0.3">
      <c r="J14" s="7">
        <f>(SUM(J3:J13)/12)</f>
        <v>-16.941733088603943</v>
      </c>
      <c r="K14" s="7">
        <f>(SUM(K3:K13)/12)</f>
        <v>39.380750702168555</v>
      </c>
      <c r="U14" s="7">
        <f>(SUM(U3:U13)/12)</f>
        <v>-5.0383399367982493</v>
      </c>
      <c r="V14" s="7">
        <f>(SUM(V3:V13)/12)</f>
        <v>21.853786323031652</v>
      </c>
      <c r="AF14" s="7">
        <f>(SUM(AF3:AF13)/12)</f>
        <v>23.463038899047508</v>
      </c>
      <c r="AG14" s="7">
        <f>(SUM(AG3:AG13)/12)</f>
        <v>32.210987214501799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Exponen'!$B$4</f>
        <v>23458.3</v>
      </c>
      <c r="O16" s="7">
        <f>'Double Exponen'!$B$4</f>
        <v>23458.3</v>
      </c>
      <c r="P16" s="7">
        <f>'triple exponen'!$B$4</f>
        <v>23458.3</v>
      </c>
      <c r="Q16" s="7">
        <f>'Konstanta a triple'!$B$4</f>
        <v>23458.3</v>
      </c>
      <c r="R16" s="7">
        <f>'Konstanta b triple'!$B$4</f>
        <v>8.9826637212141056E-13</v>
      </c>
      <c r="S16" s="7">
        <f>'Konstanta c triple'!$B$4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Exponen'!$C$4</f>
        <v>25334.13</v>
      </c>
      <c r="O17" s="7">
        <f>'Double Exponen'!$C$4</f>
        <v>23645.883000000002</v>
      </c>
      <c r="P17" s="7">
        <f>'triple exponen'!$C$4</f>
        <v>23477.058300000001</v>
      </c>
      <c r="Q17" s="7">
        <f>'Konstanta a triple'!$C$4</f>
        <v>28541.799299999995</v>
      </c>
      <c r="R17" s="7">
        <f>'Konstanta b triple'!$C$4</f>
        <v>534.6115500000011</v>
      </c>
      <c r="S17" s="7">
        <f>'Konstanta c triple'!$C$4</f>
        <v>18.758299999999981</v>
      </c>
      <c r="T17" s="7">
        <f>'Peramalan triple'!$C$4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Exponen'!$D$4</f>
        <v>25675.906999999999</v>
      </c>
      <c r="O18" s="7">
        <f>'Double Exponen'!$D$4</f>
        <v>23848.885400000003</v>
      </c>
      <c r="P18" s="7">
        <f>'triple exponen'!$D$4</f>
        <v>23514.241010000002</v>
      </c>
      <c r="Q18" s="7">
        <f>'Konstanta a triple'!$D$4</f>
        <v>28995.30580999998</v>
      </c>
      <c r="R18" s="7">
        <f>'Konstanta b triple'!$D$4</f>
        <v>543.85398499999997</v>
      </c>
      <c r="S18" s="7">
        <f>'Konstanta c triple'!$D$4</f>
        <v>18.424409999999941</v>
      </c>
      <c r="T18" s="7">
        <f>'Peramalan triple'!$D$4</f>
        <v>29085.789999999997</v>
      </c>
      <c r="U18" s="7">
        <f t="shared" si="6"/>
        <v>-1.1612797762930303</v>
      </c>
      <c r="V18" s="7">
        <f t="shared" si="7"/>
        <v>1.1612797762930303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Exponen'!$E$4</f>
        <v>27046.006300000001</v>
      </c>
      <c r="O19" s="7">
        <f>'Double Exponen'!$E$4</f>
        <v>24168.597490000004</v>
      </c>
      <c r="P19" s="7">
        <f>'triple exponen'!$E$4</f>
        <v>23579.676658</v>
      </c>
      <c r="Q19" s="7">
        <f>'Konstanta a triple'!$E$4</f>
        <v>32211.903087999981</v>
      </c>
      <c r="R19" s="7">
        <f>'Konstanta b triple'!$E$4</f>
        <v>842.39144300000055</v>
      </c>
      <c r="S19" s="7">
        <f>'Konstanta c triple'!$E$4</f>
        <v>28.252937999999926</v>
      </c>
      <c r="T19" s="7">
        <f>'Peramalan triple'!$E$4</f>
        <v>29548.371999999981</v>
      </c>
      <c r="U19" s="7">
        <f t="shared" si="6"/>
        <v>24.960136526745426</v>
      </c>
      <c r="V19" s="7">
        <f t="shared" si="7"/>
        <v>24.960136526745426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Exponen'!$F$4</f>
        <v>26727.56567</v>
      </c>
      <c r="O20" s="7">
        <f>'Double Exponen'!$F$4</f>
        <v>24424.494308000005</v>
      </c>
      <c r="P20" s="7">
        <f>'triple exponen'!$F$4</f>
        <v>23664.158423000001</v>
      </c>
      <c r="Q20" s="7">
        <f>'Konstanta a triple'!$F$4</f>
        <v>30573.372508999993</v>
      </c>
      <c r="R20" s="7">
        <f>'Konstanta b triple'!$F$4</f>
        <v>608.24998249999749</v>
      </c>
      <c r="S20" s="7">
        <f>'Konstanta c triple'!$F$4</f>
        <v>19.046116999999892</v>
      </c>
      <c r="T20" s="7">
        <f>'Peramalan triple'!$F$4</f>
        <v>33068.420999999988</v>
      </c>
      <c r="U20" s="7">
        <f t="shared" si="6"/>
        <v>-38.584256713715718</v>
      </c>
      <c r="V20" s="7">
        <f t="shared" si="7"/>
        <v>38.584256713715718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Exponen'!$G$4</f>
        <v>29776.499103000002</v>
      </c>
      <c r="O21" s="7">
        <f>'Double Exponen'!$G$4</f>
        <v>24959.694787500004</v>
      </c>
      <c r="P21" s="7">
        <f>'triple exponen'!$G$4</f>
        <v>23793.712059450001</v>
      </c>
      <c r="Q21" s="7">
        <f>'Konstanta a triple'!$G$4</f>
        <v>38244.125005949987</v>
      </c>
      <c r="R21" s="7">
        <f>'Konstanta b triple'!$G$4</f>
        <v>1369.0301013249987</v>
      </c>
      <c r="S21" s="7">
        <f>'Konstanta c triple'!$G$4</f>
        <v>45.071871449999939</v>
      </c>
      <c r="T21" s="7">
        <f>'Peramalan triple'!$G$4</f>
        <v>31191.14554999999</v>
      </c>
      <c r="U21" s="7">
        <f t="shared" si="6"/>
        <v>45.486131632437285</v>
      </c>
      <c r="V21" s="7">
        <f t="shared" si="7"/>
        <v>45.486131632437285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Exponen'!$H$4</f>
        <v>35172.519192700005</v>
      </c>
      <c r="O22" s="7">
        <f>'Double Exponen'!$H$4</f>
        <v>25980.977228020005</v>
      </c>
      <c r="P22" s="7">
        <f>'triple exponen'!$H$4</f>
        <v>24012.438576307002</v>
      </c>
      <c r="Q22" s="7">
        <f>'Konstanta a triple'!$H$4</f>
        <v>51587.064470346988</v>
      </c>
      <c r="R22" s="7">
        <f>'Konstanta b triple'!$H$4</f>
        <v>2670.9807280495011</v>
      </c>
      <c r="S22" s="7">
        <f>'Konstanta c triple'!$H$4</f>
        <v>89.17288040699998</v>
      </c>
      <c r="T22" s="7">
        <f>'Peramalan triple'!$H$4</f>
        <v>39635.691042999984</v>
      </c>
      <c r="U22" s="7">
        <f t="shared" si="6"/>
        <v>52.666284863148441</v>
      </c>
      <c r="V22" s="7">
        <f t="shared" si="7"/>
        <v>52.666284863148441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Exponen'!$I$4</f>
        <v>37060.587273430006</v>
      </c>
      <c r="O23" s="7">
        <f>'Double Exponen'!$I$4</f>
        <v>27088.938232561006</v>
      </c>
      <c r="P23" s="7">
        <f>'triple exponen'!$I$4</f>
        <v>24320.088541932404</v>
      </c>
      <c r="Q23" s="7">
        <f>'Konstanta a triple'!$I$4</f>
        <v>54235.035664539406</v>
      </c>
      <c r="R23" s="7">
        <f>'Konstanta b triple'!$I$4</f>
        <v>2753.0448067563998</v>
      </c>
      <c r="S23" s="7">
        <f>'Konstanta c triple'!$I$4</f>
        <v>88.923448768399993</v>
      </c>
      <c r="T23" s="7">
        <f>'Peramalan triple'!$I$4</f>
        <v>54302.631638599989</v>
      </c>
      <c r="U23" s="7">
        <f t="shared" si="6"/>
        <v>-0.46145582241197908</v>
      </c>
      <c r="V23" s="7">
        <f t="shared" si="7"/>
        <v>0.46145582241197908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Exponen'!$J$4</f>
        <v>34480.978546087004</v>
      </c>
      <c r="O24" s="7">
        <f>'Double Exponen'!$J$4</f>
        <v>27828.142263913607</v>
      </c>
      <c r="P24" s="7">
        <f>'triple exponen'!$J$4</f>
        <v>24670.893914130527</v>
      </c>
      <c r="Q24" s="7">
        <f>'Konstanta a triple'!$J$4</f>
        <v>44629.40276065073</v>
      </c>
      <c r="R24" s="7">
        <f>'Konstanta b triple'!$J$4</f>
        <v>1537.5790529479207</v>
      </c>
      <c r="S24" s="7">
        <f>'Konstanta c triple'!$J$4</f>
        <v>43.155406572719968</v>
      </c>
      <c r="T24" s="7">
        <f>'Peramalan triple'!$J$4</f>
        <v>57032.542195680006</v>
      </c>
      <c r="U24" s="7">
        <f t="shared" si="6"/>
        <v>-406.30336185077016</v>
      </c>
      <c r="V24" s="7">
        <f t="shared" si="7"/>
        <v>406.30336185077016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Exponen'!$K$4</f>
        <v>33454.380691478305</v>
      </c>
      <c r="O25" s="7">
        <f>'Double Exponen'!$K$4</f>
        <v>28390.766106670075</v>
      </c>
      <c r="P25" s="7">
        <f>'triple exponen'!$K$4</f>
        <v>25042.881133384482</v>
      </c>
      <c r="Q25" s="7">
        <f>'Konstanta a triple'!$K$4</f>
        <v>40233.724887809178</v>
      </c>
      <c r="R25" s="7">
        <f>'Konstanta b triple'!$K$4</f>
        <v>954.48801328941977</v>
      </c>
      <c r="S25" s="7">
        <f>'Konstanta c triple'!$K$4</f>
        <v>21.181847055835039</v>
      </c>
      <c r="T25" s="7">
        <f>'Peramalan triple'!$K$4</f>
        <v>46188.559516885012</v>
      </c>
      <c r="U25" s="7">
        <f t="shared" si="6"/>
        <v>-90.743586689593286</v>
      </c>
      <c r="V25" s="7">
        <f t="shared" si="7"/>
        <v>90.743586689593286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Exponen'!$L$4</f>
        <v>32795.002622330474</v>
      </c>
      <c r="O26" s="7">
        <f>'Double Exponen'!$L$4</f>
        <v>28831.189758236116</v>
      </c>
      <c r="P26" s="7">
        <f>'triple exponen'!$L$4</f>
        <v>25421.711995869646</v>
      </c>
      <c r="Q26" s="7">
        <f>'Konstanta a triple'!$L$4</f>
        <v>37313.150588152712</v>
      </c>
      <c r="R26" s="7">
        <f>'Konstanta b triple'!$L$4</f>
        <v>567.03105134339739</v>
      </c>
      <c r="S26" s="7">
        <f>'Konstanta c triple'!$L$4</f>
        <v>6.8436432312084863</v>
      </c>
      <c r="T26" s="7">
        <f>'Peramalan triple'!$L$4</f>
        <v>41198.803824626513</v>
      </c>
      <c r="U26" s="7">
        <f t="shared" si="6"/>
        <v>-53.380057871479103</v>
      </c>
      <c r="V26" s="7">
        <f t="shared" si="7"/>
        <v>53.380057871479103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Exponen'!$M$4</f>
        <v>32900.772360097428</v>
      </c>
      <c r="O27" s="7">
        <f>'Double Exponen'!$M$4</f>
        <v>29238.148018422249</v>
      </c>
      <c r="P27" s="7">
        <f>'triple exponen'!$M$4</f>
        <v>25803.355598124908</v>
      </c>
      <c r="Q27" s="7">
        <f>'Konstanta a triple'!$M$4</f>
        <v>36791.22862315044</v>
      </c>
      <c r="R27" s="7">
        <f>'Konstanta b triple'!$M$4</f>
        <v>458.99394593292118</v>
      </c>
      <c r="S27" s="7">
        <f>'Konstanta c triple'!$M$4</f>
        <v>2.812739770096762</v>
      </c>
      <c r="T27" s="7">
        <f>'Peramalan triple'!$M$4</f>
        <v>37883.603461111714</v>
      </c>
      <c r="U27" s="7">
        <f t="shared" si="6"/>
        <v>-11.907184541001802</v>
      </c>
      <c r="V27" s="7">
        <f t="shared" si="7"/>
        <v>11.907184541001802</v>
      </c>
    </row>
    <row r="28" spans="12:22" x14ac:dyDescent="0.3">
      <c r="U28" s="7">
        <f>(SUM(U17:U27)/12)</f>
        <v>-36.249596745343936</v>
      </c>
      <c r="V28" s="7">
        <f>(SUM(V17:V27)/12)</f>
        <v>64.173933798866912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Exponen'!$B$5</f>
        <v>4698.6499999999996</v>
      </c>
      <c r="O30" s="7">
        <f>'Double Exponen'!$B$5</f>
        <v>4698.6499999999996</v>
      </c>
      <c r="P30" s="7">
        <f>'triple exponen'!$B$5</f>
        <v>4698.6499999999996</v>
      </c>
      <c r="Q30" s="7">
        <f>'Konstanta a triple'!$B$5</f>
        <v>4698.6499999999996</v>
      </c>
      <c r="R30" s="7">
        <f>'Konstanta b triple'!$B$5</f>
        <v>2.2456659303035264E-13</v>
      </c>
      <c r="S30" s="7">
        <f>'Konstanta c triple'!$B$5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Exponen'!$C$5</f>
        <v>5093.2849999999999</v>
      </c>
      <c r="O31" s="7">
        <f>'Double Exponen'!$C$5</f>
        <v>4738.1134999999995</v>
      </c>
      <c r="P31" s="7">
        <f>'triple exponen'!$C$5</f>
        <v>4702.5963499999998</v>
      </c>
      <c r="Q31" s="7">
        <f>'Konstanta a triple'!$C$5</f>
        <v>5768.1108500000009</v>
      </c>
      <c r="R31" s="7">
        <f>'Konstanta b triple'!$C$5</f>
        <v>112.47097500000012</v>
      </c>
      <c r="S31" s="7">
        <f>'Konstanta c triple'!$C$5</f>
        <v>3.9463500000000091</v>
      </c>
      <c r="T31" s="7">
        <f>'Peramalan triple'!$C$5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Exponen'!$D$5</f>
        <v>5382.9014999999999</v>
      </c>
      <c r="O32" s="7">
        <f>'Double Exponen'!$D$5</f>
        <v>4802.5922999999993</v>
      </c>
      <c r="P32" s="7">
        <f>'triple exponen'!$D$5</f>
        <v>4712.595945</v>
      </c>
      <c r="Q32" s="7">
        <f>'Konstanta a triple'!$D$5</f>
        <v>6453.5235450000027</v>
      </c>
      <c r="R32" s="7">
        <f>'Konstanta b triple'!$D$5</f>
        <v>176.46383250000068</v>
      </c>
      <c r="S32" s="7">
        <f>'Konstanta c triple'!$D$5</f>
        <v>6.0532450000000164</v>
      </c>
      <c r="T32" s="7">
        <f>'Peramalan triple'!$D$5</f>
        <v>5882.5550000000012</v>
      </c>
      <c r="U32" s="7">
        <f t="shared" si="8"/>
        <v>26.370964209050669</v>
      </c>
      <c r="V32" s="7">
        <f t="shared" si="9"/>
        <v>26.370964209050669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Exponen'!$E$5</f>
        <v>5498.9673499999999</v>
      </c>
      <c r="O33" s="7">
        <f>'Double Exponen'!$E$5</f>
        <v>4872.2298049999999</v>
      </c>
      <c r="P33" s="7">
        <f>'triple exponen'!$E$5</f>
        <v>4728.5593309999995</v>
      </c>
      <c r="Q33" s="7">
        <f>'Konstanta a triple'!$E$5</f>
        <v>6608.7719659999993</v>
      </c>
      <c r="R33" s="7">
        <f>'Konstanta b triple'!$E$5</f>
        <v>179.96763850000025</v>
      </c>
      <c r="S33" s="7">
        <f>'Konstanta c triple'!$E$5</f>
        <v>5.9637909999999943</v>
      </c>
      <c r="T33" s="7">
        <f>'Peramalan triple'!$E$5</f>
        <v>6633.0140000000029</v>
      </c>
      <c r="U33" s="7">
        <f t="shared" si="8"/>
        <v>-1.3670540195245777</v>
      </c>
      <c r="V33" s="7">
        <f t="shared" si="9"/>
        <v>1.3670540195245777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Exponen'!$F$5</f>
        <v>9518.8306149999989</v>
      </c>
      <c r="O34" s="7">
        <f>'Double Exponen'!$F$5</f>
        <v>5336.8898859999999</v>
      </c>
      <c r="P34" s="7">
        <f>'triple exponen'!$F$5</f>
        <v>4789.3923864999997</v>
      </c>
      <c r="Q34" s="7">
        <f>'Konstanta a triple'!$F$5</f>
        <v>17335.214573499998</v>
      </c>
      <c r="R34" s="7">
        <f>'Konstanta b triple'!$F$5</f>
        <v>1294.7489667499999</v>
      </c>
      <c r="S34" s="7">
        <f>'Konstanta c triple'!$F$5</f>
        <v>44.869669499999986</v>
      </c>
      <c r="T34" s="7">
        <f>'Peramalan triple'!$F$5</f>
        <v>6791.7214999999997</v>
      </c>
      <c r="U34" s="7">
        <f t="shared" si="8"/>
        <v>85.137684473582851</v>
      </c>
      <c r="V34" s="7">
        <f t="shared" si="9"/>
        <v>85.137684473582851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Exponen'!$G$5</f>
        <v>9261.2495534999998</v>
      </c>
      <c r="O35" s="7">
        <f>'Double Exponen'!$G$5</f>
        <v>5729.3258527500002</v>
      </c>
      <c r="P35" s="7">
        <f>'triple exponen'!$G$5</f>
        <v>4883.3857331250001</v>
      </c>
      <c r="Q35" s="7">
        <f>'Konstanta a triple'!$G$5</f>
        <v>15479.156835375001</v>
      </c>
      <c r="R35" s="7">
        <f>'Konstanta b triple'!$G$5</f>
        <v>1005.9013525625003</v>
      </c>
      <c r="S35" s="7">
        <f>'Konstanta c triple'!$G$5</f>
        <v>33.160291125000001</v>
      </c>
      <c r="T35" s="7">
        <f>'Peramalan triple'!$G$5</f>
        <v>18652.398375000001</v>
      </c>
      <c r="U35" s="7">
        <f t="shared" si="8"/>
        <v>-168.64964201457002</v>
      </c>
      <c r="V35" s="7">
        <f t="shared" si="9"/>
        <v>168.64964201457002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Exponen'!$H$5</f>
        <v>9197.8955981500003</v>
      </c>
      <c r="O36" s="7">
        <f>'Double Exponen'!$H$5</f>
        <v>6076.1828272900002</v>
      </c>
      <c r="P36" s="7">
        <f>'triple exponen'!$H$5</f>
        <v>5002.6654425415009</v>
      </c>
      <c r="Q36" s="7">
        <f>'Konstanta a triple'!$H$5</f>
        <v>14367.803755121502</v>
      </c>
      <c r="R36" s="7">
        <f>'Konstanta b triple'!$H$5</f>
        <v>814.65468618275042</v>
      </c>
      <c r="S36" s="7">
        <f>'Konstanta c triple'!$H$5</f>
        <v>25.286362791500011</v>
      </c>
      <c r="T36" s="7">
        <f>'Peramalan triple'!$H$5</f>
        <v>16501.638333500003</v>
      </c>
      <c r="U36" s="7">
        <f t="shared" si="8"/>
        <v>-91.263247530341246</v>
      </c>
      <c r="V36" s="7">
        <f t="shared" si="9"/>
        <v>91.263247530341246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Exponen'!$I$5</f>
        <v>9997.506038335001</v>
      </c>
      <c r="O37" s="7">
        <f>'Double Exponen'!$I$5</f>
        <v>6468.3151483945012</v>
      </c>
      <c r="P37" s="7">
        <f>'triple exponen'!$I$5</f>
        <v>5149.2304131268011</v>
      </c>
      <c r="Q37" s="7">
        <f>'Konstanta a triple'!$I$5</f>
        <v>15736.803082948301</v>
      </c>
      <c r="R37" s="7">
        <f>'Konstanta b triple'!$I$5</f>
        <v>896.90965272730011</v>
      </c>
      <c r="S37" s="7">
        <f>'Konstanta c triple'!$I$5</f>
        <v>27.285261168799998</v>
      </c>
      <c r="T37" s="7">
        <f>'Peramalan triple'!$I$5</f>
        <v>15195.101622700002</v>
      </c>
      <c r="U37" s="7">
        <f t="shared" si="8"/>
        <v>11.625557620681622</v>
      </c>
      <c r="V37" s="7">
        <f t="shared" si="9"/>
        <v>11.625557620681622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Exponen'!$J$5</f>
        <v>10721.955434501502</v>
      </c>
      <c r="O38" s="7">
        <f>'Double Exponen'!$J$5</f>
        <v>6893.6791770052014</v>
      </c>
      <c r="P38" s="7">
        <f>'triple exponen'!$J$5</f>
        <v>5323.6752895146419</v>
      </c>
      <c r="Q38" s="7">
        <f>'Konstanta a triple'!$J$5</f>
        <v>16808.504062003543</v>
      </c>
      <c r="R38" s="7">
        <f>'Konstanta b triple'!$J$5</f>
        <v>941.14228595769066</v>
      </c>
      <c r="S38" s="7">
        <f>'Konstanta c triple'!$J$5</f>
        <v>27.879905802540019</v>
      </c>
      <c r="T38" s="7">
        <f>'Peramalan triple'!$J$5</f>
        <v>16647.355366260002</v>
      </c>
      <c r="U38" s="7">
        <f t="shared" si="8"/>
        <v>3.4488147183621245</v>
      </c>
      <c r="V38" s="7">
        <f t="shared" si="9"/>
        <v>3.4488147183621245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Exponen'!$K$5</f>
        <v>13166.479891051351</v>
      </c>
      <c r="O39" s="7">
        <f>'Double Exponen'!$K$5</f>
        <v>7520.9592484098166</v>
      </c>
      <c r="P39" s="7">
        <f>'triple exponen'!$K$5</f>
        <v>5543.4036854041597</v>
      </c>
      <c r="Q39" s="7">
        <f>'Konstanta a triple'!$K$5</f>
        <v>22479.965613328764</v>
      </c>
      <c r="R39" s="7">
        <f>'Konstanta b triple'!$K$5</f>
        <v>1465.0251821856489</v>
      </c>
      <c r="S39" s="7">
        <f>'Konstanta c triple'!$K$5</f>
        <v>45.283519501677503</v>
      </c>
      <c r="T39" s="7">
        <f>'Peramalan triple'!$K$5</f>
        <v>17763.586300862506</v>
      </c>
      <c r="U39" s="7">
        <f t="shared" si="8"/>
        <v>49.48819837558149</v>
      </c>
      <c r="V39" s="7">
        <f t="shared" si="9"/>
        <v>49.48819837558149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Exponen'!$L$5</f>
        <v>12504.171901946216</v>
      </c>
      <c r="O40" s="7">
        <f>'Double Exponen'!$L$5</f>
        <v>8019.2805137634568</v>
      </c>
      <c r="P40" s="7">
        <f>'triple exponen'!$L$5</f>
        <v>5790.9913682400902</v>
      </c>
      <c r="Q40" s="7">
        <f>'Konstanta a triple'!$L$5</f>
        <v>19245.665532788367</v>
      </c>
      <c r="R40" s="7">
        <f>'Konstanta b triple'!$L$5</f>
        <v>1013.7180738622665</v>
      </c>
      <c r="S40" s="7">
        <f>'Konstanta c triple'!$L$5</f>
        <v>27.859286946412258</v>
      </c>
      <c r="T40" s="7">
        <f>'Peramalan triple'!$L$5</f>
        <v>23967.632555265249</v>
      </c>
      <c r="U40" s="7">
        <f t="shared" si="8"/>
        <v>-266.28713750137922</v>
      </c>
      <c r="V40" s="7">
        <f t="shared" si="9"/>
        <v>266.28713750137922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Exponen'!$M$5</f>
        <v>12093.908711751596</v>
      </c>
      <c r="O41" s="7">
        <f>'Double Exponen'!$M$5</f>
        <v>8426.7433335622718</v>
      </c>
      <c r="P41" s="7">
        <f>'triple exponen'!$M$5</f>
        <v>6054.5665647723081</v>
      </c>
      <c r="Q41" s="7">
        <f>'Konstanta a triple'!$M$5</f>
        <v>17056.062699340277</v>
      </c>
      <c r="R41" s="7">
        <f>'Konstanta b triple'!$M$5</f>
        <v>703.23182318014949</v>
      </c>
      <c r="S41" s="7">
        <f>'Konstanta c triple'!$M$5</f>
        <v>15.987513696288397</v>
      </c>
      <c r="T41" s="7">
        <f>'Peramalan triple'!$M$5</f>
        <v>20273.31325012384</v>
      </c>
      <c r="U41" s="7">
        <f t="shared" si="8"/>
        <v>-141.30472806323408</v>
      </c>
      <c r="V41" s="7">
        <f t="shared" si="9"/>
        <v>141.30472806323408</v>
      </c>
    </row>
    <row r="42" spans="12:22" x14ac:dyDescent="0.3">
      <c r="U42" s="7">
        <f>(SUM(U31:U41)/12)</f>
        <v>-37.262638309536612</v>
      </c>
      <c r="V42" s="7">
        <f>(SUM(V31:V41)/12)</f>
        <v>74.215996545304904</v>
      </c>
    </row>
  </sheetData>
  <pageMargins left="0.7" right="0.7" top="0.75" bottom="0.75" header="0.3" footer="0.3"/>
  <pageSetup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0F7E0-4513-4349-997D-0005FEB499FF}">
  <dimension ref="A1:AG42"/>
  <sheetViews>
    <sheetView topLeftCell="C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2" width="9.44140625" style="6" bestFit="1" customWidth="1"/>
    <col min="3" max="5" width="8.44140625" style="6" bestFit="1" customWidth="1"/>
    <col min="6" max="6" width="9.44140625" style="6" bestFit="1" customWidth="1"/>
    <col min="7" max="7" width="8.44140625" style="6" bestFit="1" customWidth="1"/>
    <col min="8" max="8" width="7.44140625" style="6" bestFit="1" customWidth="1"/>
    <col min="9" max="9" width="9.44140625" style="6" bestFit="1" customWidth="1"/>
    <col min="10" max="10" width="7.109375" style="6" bestFit="1" customWidth="1"/>
    <col min="11" max="11" width="6.44140625" style="6" bestFit="1" customWidth="1"/>
    <col min="12" max="12" width="13.6640625" style="6" bestFit="1" customWidth="1"/>
    <col min="13" max="17" width="9.44140625" style="6" bestFit="1" customWidth="1"/>
    <col min="18" max="18" width="9.109375" style="6" bestFit="1" customWidth="1"/>
    <col min="19" max="19" width="8.109375" style="6" bestFit="1" customWidth="1"/>
    <col min="20" max="20" width="9.44140625" style="6" bestFit="1" customWidth="1"/>
    <col min="21" max="21" width="7.109375" style="6" bestFit="1" customWidth="1"/>
    <col min="22" max="22" width="6.44140625" style="6" bestFit="1" customWidth="1"/>
    <col min="23" max="23" width="14.109375" style="6" bestFit="1" customWidth="1"/>
    <col min="24" max="28" width="8.44140625" style="6" bestFit="1" customWidth="1"/>
    <col min="29" max="29" width="8.109375" style="6" bestFit="1" customWidth="1"/>
    <col min="30" max="30" width="7.109375" style="6" bestFit="1" customWidth="1"/>
    <col min="31" max="31" width="8.44140625" style="6" bestFit="1" customWidth="1"/>
    <col min="32" max="32" width="7.109375" style="6" bestFit="1" customWidth="1"/>
    <col min="33" max="33" width="6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Exponen'!$B$8</f>
        <v>12588.09</v>
      </c>
      <c r="D2" s="7">
        <f>'Double Exponen'!$B$8</f>
        <v>12588.09</v>
      </c>
      <c r="E2" s="7">
        <f>'triple exponen'!$B$8</f>
        <v>12588.09</v>
      </c>
      <c r="F2" s="7">
        <f>'Konstanta a triple'!$B$8</f>
        <v>12588.09</v>
      </c>
      <c r="G2" s="7">
        <f>'Konstanta b triple'!$B$8</f>
        <v>-1.1368683772161601E-12</v>
      </c>
      <c r="H2" s="7">
        <f>'Konstanta c triple'!$B$8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Exponen'!$B$9</f>
        <v>459915.78</v>
      </c>
      <c r="O2" s="7">
        <f>'Double Exponen'!$B$9</f>
        <v>459915.78</v>
      </c>
      <c r="P2" s="7">
        <f>'triple exponen'!$B$9</f>
        <v>459915.78</v>
      </c>
      <c r="Q2" s="7">
        <f>'Konstanta a triple'!$B$9</f>
        <v>459915.78</v>
      </c>
      <c r="R2" s="7">
        <f>'Konstanta b triple'!$B$9</f>
        <v>-3.6379788070917123E-11</v>
      </c>
      <c r="S2" s="7">
        <f>'Konstanta c triple'!$B$9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Exponen'!$B$12</f>
        <v>1033.08</v>
      </c>
      <c r="Z2" s="7">
        <f>'Double Exponen'!$B$12</f>
        <v>1033.08</v>
      </c>
      <c r="AA2" s="7">
        <f>'triple exponen'!$B$12</f>
        <v>1033.08</v>
      </c>
      <c r="AB2" s="7">
        <f>'Konstanta a triple'!$B$12</f>
        <v>1033.08</v>
      </c>
      <c r="AC2" s="7">
        <f>'Konstanta b triple'!$B$12</f>
        <v>0</v>
      </c>
      <c r="AD2" s="7">
        <f>'Konstanta c triple'!$B$12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Exponen'!$C$8</f>
        <v>11028.422000000002</v>
      </c>
      <c r="D3" s="7">
        <f>'Double Exponen'!$C$8</f>
        <v>12276.156400000002</v>
      </c>
      <c r="E3" s="7">
        <f>'triple exponen'!$C$8</f>
        <v>12525.703280000002</v>
      </c>
      <c r="F3" s="7">
        <f>'Konstanta a triple'!$C$8</f>
        <v>8782.500079999998</v>
      </c>
      <c r="G3" s="7">
        <f>'Konstanta b triple'!$C$8</f>
        <v>-842.22071999999901</v>
      </c>
      <c r="H3" s="7">
        <f>'Konstanta c triple'!$C$8</f>
        <v>-62.386719999999968</v>
      </c>
      <c r="I3" s="7">
        <f>'Peramalan triple'!$C$8</f>
        <v>12588.089999999998</v>
      </c>
      <c r="J3" s="7">
        <f>((B3-I3)/B3)*100</f>
        <v>-162.8130904535727</v>
      </c>
      <c r="K3" s="7">
        <f>ABS((B3-I3)/B3)*100</f>
        <v>162.8130904535727</v>
      </c>
      <c r="L3" s="7" t="str">
        <f>'Rekap 0,1'!J3</f>
        <v>Februari</v>
      </c>
      <c r="M3" s="7">
        <f>kg!$C$4</f>
        <v>397220.76</v>
      </c>
      <c r="N3" s="7">
        <f>'Single Exponen'!$C$9</f>
        <v>447376.77600000007</v>
      </c>
      <c r="O3" s="7">
        <f>'Double Exponen'!$C$9</f>
        <v>457407.97920000006</v>
      </c>
      <c r="P3" s="7">
        <f>'triple exponen'!$C$9</f>
        <v>459414.21984000009</v>
      </c>
      <c r="Q3" s="7">
        <f>'Konstanta a triple'!$C$9</f>
        <v>429320.61024000001</v>
      </c>
      <c r="R3" s="7">
        <f>'Konstanta b triple'!$C$9</f>
        <v>-6771.0621600000004</v>
      </c>
      <c r="S3" s="7">
        <f>'Konstanta c triple'!$C$9</f>
        <v>-501.56015999999727</v>
      </c>
      <c r="T3" s="7">
        <f>'Peramalan triple'!$C$9</f>
        <v>459915.77999999997</v>
      </c>
      <c r="U3" s="7">
        <f t="shared" ref="U3:U13" si="0">((M3-T3)/M3)*100</f>
        <v>-15.783419778966227</v>
      </c>
      <c r="V3" s="7">
        <f t="shared" ref="V3:V13" si="1">ABS((M3-T3)/M3)*100</f>
        <v>15.783419778966227</v>
      </c>
      <c r="W3" s="7" t="str">
        <f>'Rekap 0,1'!S3</f>
        <v>Februari</v>
      </c>
      <c r="X3" s="7">
        <f>kg!$C$7</f>
        <v>25477.94</v>
      </c>
      <c r="Y3" s="7">
        <f>'Single Exponen'!$C$12</f>
        <v>5922.0519999999997</v>
      </c>
      <c r="Z3" s="7">
        <f>'Double Exponen'!$C$12</f>
        <v>2010.8743999999999</v>
      </c>
      <c r="AA3" s="7">
        <f>'triple exponen'!$C$12</f>
        <v>1228.63888</v>
      </c>
      <c r="AB3" s="7">
        <f>'Konstanta a triple'!$C$12</f>
        <v>12962.171679999999</v>
      </c>
      <c r="AC3" s="7">
        <f>'Konstanta b triple'!$C$12</f>
        <v>2640.0448799999995</v>
      </c>
      <c r="AD3" s="7">
        <f>'Konstanta c triple'!$C$12</f>
        <v>195.55887999999999</v>
      </c>
      <c r="AE3" s="7">
        <f>'Peramalan triple'!$C$12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Exponen'!$D$8</f>
        <v>13027.905600000002</v>
      </c>
      <c r="D4" s="7">
        <f>'Double Exponen'!$D$8</f>
        <v>12426.506240000002</v>
      </c>
      <c r="E4" s="7">
        <f>'triple exponen'!$D$8</f>
        <v>12505.863872000002</v>
      </c>
      <c r="F4" s="7">
        <f>'Konstanta a triple'!$D$8</f>
        <v>14310.061952000004</v>
      </c>
      <c r="G4" s="7">
        <f>'Konstanta b triple'!$D$8</f>
        <v>512.0019919999969</v>
      </c>
      <c r="H4" s="7">
        <f>'Konstanta c triple'!$D$8</f>
        <v>42.54731199999992</v>
      </c>
      <c r="I4" s="7">
        <f>'Peramalan triple'!$D$8</f>
        <v>7909.0859999999984</v>
      </c>
      <c r="J4" s="7">
        <f t="shared" ref="J4:J13" si="2">((B4-I4)/B4)*100</f>
        <v>62.383971341929744</v>
      </c>
      <c r="K4" s="7">
        <f t="shared" ref="K4:K13" si="3">ABS((B4-I4)/B4)*100</f>
        <v>62.383971341929744</v>
      </c>
      <c r="L4" s="7" t="str">
        <f>'Rekap 0,1'!J4</f>
        <v>Maret</v>
      </c>
      <c r="M4" s="7">
        <f>kg!$D$4</f>
        <v>389238.98</v>
      </c>
      <c r="N4" s="7">
        <f>'Single Exponen'!$D$9</f>
        <v>435749.21680000005</v>
      </c>
      <c r="O4" s="7">
        <f>'Double Exponen'!$D$9</f>
        <v>453076.22672000009</v>
      </c>
      <c r="P4" s="7">
        <f>'triple exponen'!$D$9</f>
        <v>458146.62121600017</v>
      </c>
      <c r="Q4" s="7">
        <f>'Konstanta a triple'!$D$9</f>
        <v>406165.59145600011</v>
      </c>
      <c r="R4" s="7">
        <f>'Konstanta b triple'!$D$9</f>
        <v>-10843.079424000023</v>
      </c>
      <c r="S4" s="7">
        <f>'Konstanta c triple'!$D$9</f>
        <v>-766.03846399999748</v>
      </c>
      <c r="T4" s="7">
        <f>'Peramalan triple'!$D$9</f>
        <v>422298.76800000004</v>
      </c>
      <c r="U4" s="7">
        <f t="shared" si="0"/>
        <v>-8.4934422549355304</v>
      </c>
      <c r="V4" s="7">
        <f t="shared" si="1"/>
        <v>8.4934422549355304</v>
      </c>
      <c r="W4" s="7" t="str">
        <f>'Rekap 0,1'!S4</f>
        <v>Maret</v>
      </c>
      <c r="X4" s="7">
        <f>kg!$D$7</f>
        <v>19497.02</v>
      </c>
      <c r="Y4" s="7">
        <f>'Single Exponen'!$D$12</f>
        <v>8637.0456000000013</v>
      </c>
      <c r="Z4" s="7">
        <f>'Double Exponen'!$D$12</f>
        <v>3336.1086400000004</v>
      </c>
      <c r="AA4" s="7">
        <f>'triple exponen'!$D$12</f>
        <v>1650.1328320000002</v>
      </c>
      <c r="AB4" s="7">
        <f>'Konstanta a triple'!$D$12</f>
        <v>17552.943712000004</v>
      </c>
      <c r="AC4" s="7">
        <f>'Konstanta b triple'!$D$12</f>
        <v>3245.6823519999994</v>
      </c>
      <c r="AD4" s="7">
        <f>'Konstanta c triple'!$D$12</f>
        <v>225.93507200000005</v>
      </c>
      <c r="AE4" s="7">
        <f>'Peramalan triple'!$D$12</f>
        <v>15699.995999999999</v>
      </c>
      <c r="AF4" s="7">
        <f t="shared" ref="AF4:AF13" si="4">((X4-AE4)/X4)*100</f>
        <v>19.474894112023282</v>
      </c>
      <c r="AG4" s="7">
        <f t="shared" ref="AG4:AG13" si="5">ABS((X4-AE4)/X4)*100</f>
        <v>19.474894112023282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Exponen'!$E$8</f>
        <v>12642.518480000002</v>
      </c>
      <c r="D5" s="7">
        <f>'Double Exponen'!$E$8</f>
        <v>12469.708688000002</v>
      </c>
      <c r="E5" s="7">
        <f>'triple exponen'!$E$8</f>
        <v>12498.632835200002</v>
      </c>
      <c r="F5" s="7">
        <f>'Konstanta a triple'!$E$8</f>
        <v>13017.062211200002</v>
      </c>
      <c r="G5" s="7">
        <f>'Konstanta b triple'!$E$8</f>
        <v>150.37360319999718</v>
      </c>
      <c r="H5" s="7">
        <f>'Konstanta c triple'!$E$8</f>
        <v>12.608371199999965</v>
      </c>
      <c r="I5" s="7">
        <f>'Peramalan triple'!$E$8</f>
        <v>14843.337600000001</v>
      </c>
      <c r="J5" s="7">
        <f t="shared" si="2"/>
        <v>-33.712077413054907</v>
      </c>
      <c r="K5" s="7">
        <f t="shared" si="3"/>
        <v>33.712077413054907</v>
      </c>
      <c r="L5" s="7" t="str">
        <f>'Rekap 0,1'!J5</f>
        <v>April</v>
      </c>
      <c r="M5" s="7">
        <f>kg!$E$4</f>
        <v>505904.1</v>
      </c>
      <c r="N5" s="7">
        <f>'Single Exponen'!$E$9</f>
        <v>449780.19344000006</v>
      </c>
      <c r="O5" s="7">
        <f>'Double Exponen'!$E$9</f>
        <v>452417.0200640001</v>
      </c>
      <c r="P5" s="7">
        <f>'triple exponen'!$E$9</f>
        <v>457000.70098560018</v>
      </c>
      <c r="Q5" s="7">
        <f>'Konstanta a triple'!$E$9</f>
        <v>449090.22111360001</v>
      </c>
      <c r="R5" s="7">
        <f>'Konstanta b triple'!$E$9</f>
        <v>375.05968959994783</v>
      </c>
      <c r="S5" s="7">
        <f>'Konstanta c triple'!$E$9</f>
        <v>121.67839360000289</v>
      </c>
      <c r="T5" s="7">
        <f>'Peramalan triple'!$E$9</f>
        <v>394939.49280000012</v>
      </c>
      <c r="U5" s="7">
        <f t="shared" si="0"/>
        <v>21.933921310382711</v>
      </c>
      <c r="V5" s="7">
        <f t="shared" si="1"/>
        <v>21.933921310382711</v>
      </c>
      <c r="W5" s="7" t="str">
        <f>'Rekap 0,1'!S5</f>
        <v>April</v>
      </c>
      <c r="X5" s="7">
        <f>kg!$E$7</f>
        <v>18855.900000000001</v>
      </c>
      <c r="Y5" s="7">
        <f>'Single Exponen'!$E$12</f>
        <v>10680.816480000001</v>
      </c>
      <c r="Z5" s="7">
        <f>'Double Exponen'!$E$12</f>
        <v>4805.0502080000006</v>
      </c>
      <c r="AA5" s="7">
        <f>'triple exponen'!$E$12</f>
        <v>2281.1163072000004</v>
      </c>
      <c r="AB5" s="7">
        <f>'Konstanta a triple'!$E$12</f>
        <v>19908.415123200004</v>
      </c>
      <c r="AC5" s="7">
        <f>'Konstanta b triple'!$E$12</f>
        <v>3249.6025151999993</v>
      </c>
      <c r="AD5" s="7">
        <f>'Konstanta c triple'!$E$12</f>
        <v>209.48952320000004</v>
      </c>
      <c r="AE5" s="7">
        <f>'Peramalan triple'!$E$12</f>
        <v>20911.593600000004</v>
      </c>
      <c r="AF5" s="7">
        <f t="shared" si="4"/>
        <v>-10.902124003627524</v>
      </c>
      <c r="AG5" s="7">
        <f t="shared" si="5"/>
        <v>10.902124003627524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Exponen'!$F$8</f>
        <v>11933.146784000002</v>
      </c>
      <c r="D6" s="7">
        <f>'Double Exponen'!$F$8</f>
        <v>12362.396307200002</v>
      </c>
      <c r="E6" s="7">
        <f>'triple exponen'!$F$8</f>
        <v>12471.385529600004</v>
      </c>
      <c r="F6" s="7">
        <f>'Konstanta a triple'!$F$8</f>
        <v>11183.636960000003</v>
      </c>
      <c r="G6" s="7">
        <f>'Konstanta b triple'!$F$8</f>
        <v>-277.45066559999935</v>
      </c>
      <c r="H6" s="7">
        <f>'Konstanta c triple'!$F$8</f>
        <v>-20.016268799999921</v>
      </c>
      <c r="I6" s="7">
        <f>'Peramalan triple'!$F$8</f>
        <v>13173.74</v>
      </c>
      <c r="J6" s="7">
        <f t="shared" si="2"/>
        <v>-44.835448994355545</v>
      </c>
      <c r="K6" s="7">
        <f t="shared" si="3"/>
        <v>44.835448994355545</v>
      </c>
      <c r="L6" s="7" t="str">
        <f>'Rekap 0,1'!J6</f>
        <v>Mei</v>
      </c>
      <c r="M6" s="7">
        <f>kg!$F$4</f>
        <v>201079.58</v>
      </c>
      <c r="N6" s="7">
        <f>'Single Exponen'!$F$9</f>
        <v>400040.07075200009</v>
      </c>
      <c r="O6" s="7">
        <f>'Double Exponen'!$F$9</f>
        <v>441941.63020160008</v>
      </c>
      <c r="P6" s="7">
        <f>'triple exponen'!$F$9</f>
        <v>453988.8868288002</v>
      </c>
      <c r="Q6" s="7">
        <f>'Konstanta a triple'!$F$9</f>
        <v>328284.20848000026</v>
      </c>
      <c r="R6" s="7">
        <f>'Konstanta b triple'!$F$9</f>
        <v>-26335.488236799971</v>
      </c>
      <c r="S6" s="7">
        <f>'Konstanta c triple'!$F$9</f>
        <v>-1865.8939263999928</v>
      </c>
      <c r="T6" s="7">
        <f>'Peramalan triple'!$F$9</f>
        <v>449526.12</v>
      </c>
      <c r="U6" s="7">
        <f t="shared" si="0"/>
        <v>-123.55632531160052</v>
      </c>
      <c r="V6" s="7">
        <f t="shared" si="1"/>
        <v>123.55632531160052</v>
      </c>
      <c r="W6" s="7" t="str">
        <f>'Rekap 0,1'!S6</f>
        <v>Mei</v>
      </c>
      <c r="X6" s="7">
        <f>kg!$F$7</f>
        <v>26851.599999999999</v>
      </c>
      <c r="Y6" s="7">
        <f>'Single Exponen'!$F$12</f>
        <v>13914.973184</v>
      </c>
      <c r="Z6" s="7">
        <f>'Double Exponen'!$F$12</f>
        <v>6627.0348032000002</v>
      </c>
      <c r="AA6" s="7">
        <f>'triple exponen'!$F$12</f>
        <v>3150.3000064000007</v>
      </c>
      <c r="AB6" s="7">
        <f>'Konstanta a triple'!$F$12</f>
        <v>25014.1151488</v>
      </c>
      <c r="AC6" s="7">
        <f>'Konstanta b triple'!$F$12</f>
        <v>3846.6864991999983</v>
      </c>
      <c r="AD6" s="7">
        <f>'Konstanta c triple'!$F$12</f>
        <v>238.20022400000005</v>
      </c>
      <c r="AE6" s="7">
        <f>'Peramalan triple'!$F$12</f>
        <v>23262.762400000003</v>
      </c>
      <c r="AF6" s="7">
        <f t="shared" si="4"/>
        <v>13.365451593201133</v>
      </c>
      <c r="AG6" s="7">
        <f t="shared" si="5"/>
        <v>13.365451593201133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Exponen'!$G$8</f>
        <v>11183.589427200002</v>
      </c>
      <c r="D7" s="7">
        <f>'Double Exponen'!$G$8</f>
        <v>12126.634931200004</v>
      </c>
      <c r="E7" s="7">
        <f>'triple exponen'!$G$8</f>
        <v>12402.435409920005</v>
      </c>
      <c r="F7" s="7">
        <f>'Konstanta a triple'!$G$8</f>
        <v>9573.2988979199999</v>
      </c>
      <c r="G7" s="7">
        <f>'Konstanta b triple'!$G$8</f>
        <v>-590.23529568000288</v>
      </c>
      <c r="H7" s="7">
        <f>'Konstanta c triple'!$G$8</f>
        <v>-41.702814080000053</v>
      </c>
      <c r="I7" s="7">
        <f>'Peramalan triple'!$G$8</f>
        <v>10896.178160000005</v>
      </c>
      <c r="J7" s="7">
        <f t="shared" si="2"/>
        <v>-33.117885590859849</v>
      </c>
      <c r="K7" s="7">
        <f t="shared" si="3"/>
        <v>33.117885590859849</v>
      </c>
      <c r="L7" s="7" t="str">
        <f>'Rekap 0,1'!J7</f>
        <v>Juni</v>
      </c>
      <c r="M7" s="7">
        <f>kg!$G$4</f>
        <v>378271.8</v>
      </c>
      <c r="N7" s="7">
        <f>'Single Exponen'!$G$9</f>
        <v>395686.41660160007</v>
      </c>
      <c r="O7" s="7">
        <f>'Double Exponen'!$G$9</f>
        <v>432690.58748160012</v>
      </c>
      <c r="P7" s="7">
        <f>'triple exponen'!$G$9</f>
        <v>449729.22695936024</v>
      </c>
      <c r="Q7" s="7">
        <f>'Konstanta a triple'!$G$9</f>
        <v>338716.71431936015</v>
      </c>
      <c r="R7" s="7">
        <f>'Konstanta b triple'!$G$9</f>
        <v>-19857.731277439958</v>
      </c>
      <c r="S7" s="7">
        <f>'Konstanta c triple'!$G$9</f>
        <v>-1247.8457126399953</v>
      </c>
      <c r="T7" s="7">
        <f>'Peramalan triple'!$G$9</f>
        <v>301015.77328000031</v>
      </c>
      <c r="U7" s="7">
        <f t="shared" si="0"/>
        <v>20.423416897585195</v>
      </c>
      <c r="V7" s="7">
        <f t="shared" si="1"/>
        <v>20.423416897585195</v>
      </c>
      <c r="W7" s="7" t="str">
        <f>'Rekap 0,1'!S7</f>
        <v>Juni</v>
      </c>
      <c r="X7" s="7">
        <f>kg!$G$7</f>
        <v>17468.29</v>
      </c>
      <c r="Y7" s="7">
        <f>'Single Exponen'!$G$12</f>
        <v>14625.6365472</v>
      </c>
      <c r="Z7" s="7">
        <f>'Double Exponen'!$G$12</f>
        <v>8226.7551520000015</v>
      </c>
      <c r="AA7" s="7">
        <f>'triple exponen'!$G$12</f>
        <v>4165.5910355200012</v>
      </c>
      <c r="AB7" s="7">
        <f>'Konstanta a triple'!$G$12</f>
        <v>23362.23522111999</v>
      </c>
      <c r="AC7" s="7">
        <f>'Konstanta b triple'!$G$12</f>
        <v>2841.6326531199984</v>
      </c>
      <c r="AD7" s="7">
        <f>'Konstanta c triple'!$G$12</f>
        <v>146.10732991999987</v>
      </c>
      <c r="AE7" s="7">
        <f>'Peramalan triple'!$G$12</f>
        <v>28979.901759999997</v>
      </c>
      <c r="AF7" s="7">
        <f t="shared" si="4"/>
        <v>-65.900049518298559</v>
      </c>
      <c r="AG7" s="7">
        <f t="shared" si="5"/>
        <v>65.900049518298559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Exponen'!$H$8</f>
        <v>12599.951541760001</v>
      </c>
      <c r="D8" s="7">
        <f>'Double Exponen'!$H$8</f>
        <v>12221.298253312003</v>
      </c>
      <c r="E8" s="7">
        <f>'triple exponen'!$H$8</f>
        <v>12366.207978598406</v>
      </c>
      <c r="F8" s="7">
        <f>'Konstanta a triple'!$H$8</f>
        <v>13502.167843942396</v>
      </c>
      <c r="G8" s="7">
        <f>'Konstanta b triple'!$H$8</f>
        <v>372.80617315839999</v>
      </c>
      <c r="H8" s="7">
        <f>'Konstanta c triple'!$H$8</f>
        <v>32.722688358400092</v>
      </c>
      <c r="I8" s="7">
        <f>'Peramalan triple'!$H$8</f>
        <v>8962.212195199998</v>
      </c>
      <c r="J8" s="7">
        <f t="shared" si="2"/>
        <v>50.933392122811448</v>
      </c>
      <c r="K8" s="7">
        <f t="shared" si="3"/>
        <v>50.933392122811448</v>
      </c>
      <c r="L8" s="7" t="str">
        <f>'Rekap 0,1'!J8</f>
        <v>Juli</v>
      </c>
      <c r="M8" s="7">
        <f>kg!$H$4</f>
        <v>463478.68</v>
      </c>
      <c r="N8" s="7">
        <f>'Single Exponen'!$H$9</f>
        <v>409244.86928128009</v>
      </c>
      <c r="O8" s="7">
        <f>'Double Exponen'!$H$9</f>
        <v>428001.44384153618</v>
      </c>
      <c r="P8" s="7">
        <f>'triple exponen'!$H$9</f>
        <v>445383.67033579544</v>
      </c>
      <c r="Q8" s="7">
        <f>'Konstanta a triple'!$H$9</f>
        <v>389113.94665502704</v>
      </c>
      <c r="R8" s="7">
        <f>'Konstanta b triple'!$H$9</f>
        <v>-5419.2660501248602</v>
      </c>
      <c r="S8" s="7">
        <f>'Konstanta c triple'!$H$9</f>
        <v>-85.896754124802101</v>
      </c>
      <c r="T8" s="7">
        <f>'Peramalan triple'!$H$9</f>
        <v>318235.06018560019</v>
      </c>
      <c r="U8" s="7">
        <f t="shared" si="0"/>
        <v>31.337713271816476</v>
      </c>
      <c r="V8" s="7">
        <f t="shared" si="1"/>
        <v>31.337713271816476</v>
      </c>
      <c r="W8" s="7" t="str">
        <f>'Rekap 0,1'!S8</f>
        <v>Juli</v>
      </c>
      <c r="X8" s="7">
        <f>kg!$H$7</f>
        <v>53358.239999999998</v>
      </c>
      <c r="Y8" s="7">
        <f>'Single Exponen'!$H$12</f>
        <v>22372.157237760002</v>
      </c>
      <c r="Z8" s="7">
        <f>'Double Exponen'!$H$12</f>
        <v>11055.835569152001</v>
      </c>
      <c r="AA8" s="7">
        <f>'triple exponen'!$H$12</f>
        <v>5543.6399422464019</v>
      </c>
      <c r="AB8" s="7">
        <f>'Konstanta a triple'!$H$12</f>
        <v>39492.60494807041</v>
      </c>
      <c r="AC8" s="7">
        <f>'Konstanta b triple'!$H$12</f>
        <v>5912.5223768063997</v>
      </c>
      <c r="AD8" s="7">
        <f>'Konstanta c triple'!$H$12</f>
        <v>362.75787760640014</v>
      </c>
      <c r="AE8" s="7">
        <f>'Peramalan triple'!$H$12</f>
        <v>26276.92153919999</v>
      </c>
      <c r="AF8" s="7">
        <f t="shared" si="4"/>
        <v>50.753770103361752</v>
      </c>
      <c r="AG8" s="7">
        <f t="shared" si="5"/>
        <v>50.753770103361752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Exponen'!$I$8</f>
        <v>12288.897233408001</v>
      </c>
      <c r="D9" s="7">
        <f>'Double Exponen'!$I$8</f>
        <v>12234.818049331203</v>
      </c>
      <c r="E9" s="7">
        <f>'triple exponen'!$I$8</f>
        <v>12339.929992744967</v>
      </c>
      <c r="F9" s="7">
        <f>'Konstanta a triple'!$I$8</f>
        <v>12502.167544975358</v>
      </c>
      <c r="G9" s="7">
        <f>'Konstanta b triple'!$I$8</f>
        <v>98.090082498558772</v>
      </c>
      <c r="H9" s="7">
        <f>'Konstanta c triple'!$I$8</f>
        <v>9.9494454681600928</v>
      </c>
      <c r="I9" s="7">
        <f>'Peramalan triple'!$I$8</f>
        <v>13891.335361279997</v>
      </c>
      <c r="J9" s="7">
        <f t="shared" si="2"/>
        <v>-25.773995817714919</v>
      </c>
      <c r="K9" s="7">
        <f t="shared" si="3"/>
        <v>25.773995817714919</v>
      </c>
      <c r="L9" s="7" t="str">
        <f>'Rekap 0,1'!J9</f>
        <v>Agustus</v>
      </c>
      <c r="M9" s="7">
        <f>kg!$I$4</f>
        <v>511860.86</v>
      </c>
      <c r="N9" s="7">
        <f>'Single Exponen'!$I$9</f>
        <v>429768.06742502411</v>
      </c>
      <c r="O9" s="7">
        <f>'Double Exponen'!$I$9</f>
        <v>428354.7685582338</v>
      </c>
      <c r="P9" s="7">
        <f>'triple exponen'!$I$9</f>
        <v>441977.88998028316</v>
      </c>
      <c r="Q9" s="7">
        <f>'Konstanta a triple'!$I$9</f>
        <v>446217.78658065392</v>
      </c>
      <c r="R9" s="7">
        <f>'Konstanta b triple'!$I$9</f>
        <v>8341.4229951436191</v>
      </c>
      <c r="S9" s="7">
        <f>'Konstanta c triple'!$I$9</f>
        <v>939.77626805247928</v>
      </c>
      <c r="T9" s="7">
        <f>'Peramalan triple'!$I$9</f>
        <v>383651.73222783982</v>
      </c>
      <c r="U9" s="7">
        <f t="shared" si="0"/>
        <v>25.047652163160155</v>
      </c>
      <c r="V9" s="7">
        <f t="shared" si="1"/>
        <v>25.047652163160155</v>
      </c>
      <c r="W9" s="7" t="str">
        <f>'Rekap 0,1'!S9</f>
        <v>Agustus</v>
      </c>
      <c r="X9" s="7">
        <f>kg!$I$7</f>
        <v>31973.26</v>
      </c>
      <c r="Y9" s="7">
        <f>'Single Exponen'!$I$12</f>
        <v>24292.377790208004</v>
      </c>
      <c r="Z9" s="7">
        <f>'Double Exponen'!$I$12</f>
        <v>13703.144013363202</v>
      </c>
      <c r="AA9" s="7">
        <f>'triple exponen'!$I$12</f>
        <v>7175.5407564697625</v>
      </c>
      <c r="AB9" s="7">
        <f>'Konstanta a triple'!$I$12</f>
        <v>38943.242087004161</v>
      </c>
      <c r="AC9" s="7">
        <f>'Konstanta b triple'!$I$12</f>
        <v>4805.0496579353603</v>
      </c>
      <c r="AD9" s="7">
        <f>'Konstanta c triple'!$I$12</f>
        <v>253.85190749696011</v>
      </c>
      <c r="AE9" s="7">
        <f>'Peramalan triple'!$I$12</f>
        <v>45586.506263680014</v>
      </c>
      <c r="AF9" s="7">
        <f t="shared" si="4"/>
        <v>-42.576972957027266</v>
      </c>
      <c r="AG9" s="7">
        <f t="shared" si="5"/>
        <v>42.576972957027266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Exponen'!$J$8</f>
        <v>12009.027786726401</v>
      </c>
      <c r="D10" s="7">
        <f>'Double Exponen'!$J$8</f>
        <v>12189.659996810244</v>
      </c>
      <c r="E10" s="7">
        <f>'triple exponen'!$J$8</f>
        <v>12309.875993558022</v>
      </c>
      <c r="F10" s="7">
        <f>'Konstanta a triple'!$J$8</f>
        <v>11767.979363306496</v>
      </c>
      <c r="G10" s="7">
        <f>'Konstanta b triple'!$J$8</f>
        <v>-77.254165855746336</v>
      </c>
      <c r="H10" s="7">
        <f>'Konstanta c triple'!$J$8</f>
        <v>-3.7760133335040109</v>
      </c>
      <c r="I10" s="7">
        <f>'Peramalan triple'!$J$8</f>
        <v>12605.232350207996</v>
      </c>
      <c r="J10" s="7">
        <f t="shared" si="2"/>
        <v>-15.755309909114676</v>
      </c>
      <c r="K10" s="7">
        <f t="shared" si="3"/>
        <v>15.755309909114676</v>
      </c>
      <c r="L10" s="7" t="str">
        <f>'Rekap 0,1'!J10</f>
        <v>September</v>
      </c>
      <c r="M10" s="7">
        <f>kg!$J$4</f>
        <v>513170.2</v>
      </c>
      <c r="N10" s="7">
        <f>'Single Exponen'!$J$9</f>
        <v>446448.49394001928</v>
      </c>
      <c r="O10" s="7">
        <f>'Double Exponen'!$J$9</f>
        <v>431973.51363459096</v>
      </c>
      <c r="P10" s="7">
        <f>'triple exponen'!$J$9</f>
        <v>439977.01471114479</v>
      </c>
      <c r="Q10" s="7">
        <f>'Konstanta a triple'!$J$9</f>
        <v>483401.95562742971</v>
      </c>
      <c r="R10" s="7">
        <f>'Konstanta b triple'!$J$9</f>
        <v>15560.438310535024</v>
      </c>
      <c r="S10" s="7">
        <f>'Konstanta c triple'!$J$9</f>
        <v>1404.9050863738848</v>
      </c>
      <c r="T10" s="7">
        <f>'Peramalan triple'!$J$9</f>
        <v>455029.09770982381</v>
      </c>
      <c r="U10" s="7">
        <f t="shared" si="0"/>
        <v>11.329789276574557</v>
      </c>
      <c r="V10" s="7">
        <f t="shared" si="1"/>
        <v>11.329789276574557</v>
      </c>
      <c r="W10" s="7" t="str">
        <f>'Rekap 0,1'!S10</f>
        <v>September</v>
      </c>
      <c r="X10" s="7">
        <f>kg!$J$7</f>
        <v>28522.799999999999</v>
      </c>
      <c r="Y10" s="7">
        <f>'Single Exponen'!$J$12</f>
        <v>25138.462232166406</v>
      </c>
      <c r="Z10" s="7">
        <f>'Double Exponen'!$J$12</f>
        <v>15990.207657123843</v>
      </c>
      <c r="AA10" s="7">
        <f>'triple exponen'!$J$12</f>
        <v>8938.4741366005801</v>
      </c>
      <c r="AB10" s="7">
        <f>'Konstanta a triple'!$J$12</f>
        <v>36383.237861728267</v>
      </c>
      <c r="AC10" s="7">
        <f>'Konstanta b triple'!$J$12</f>
        <v>3400.8404539740195</v>
      </c>
      <c r="AD10" s="7">
        <f>'Konstanta c triple'!$J$12</f>
        <v>131.03256590745627</v>
      </c>
      <c r="AE10" s="7">
        <f>'Peramalan triple'!$J$12</f>
        <v>43875.217698688</v>
      </c>
      <c r="AF10" s="7">
        <f t="shared" si="4"/>
        <v>-53.825072218323591</v>
      </c>
      <c r="AG10" s="7">
        <f t="shared" si="5"/>
        <v>53.825072218323591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Exponen'!$K$8</f>
        <v>11288.490229381121</v>
      </c>
      <c r="D11" s="7">
        <f>'Double Exponen'!$K$8</f>
        <v>12009.42604332442</v>
      </c>
      <c r="E11" s="7">
        <f>'triple exponen'!$K$8</f>
        <v>12249.786003511303</v>
      </c>
      <c r="F11" s="7">
        <f>'Konstanta a triple'!$K$8</f>
        <v>10086.97856168141</v>
      </c>
      <c r="G11" s="7">
        <f>'Konstanta b triple'!$K$8</f>
        <v>-435.53987579392123</v>
      </c>
      <c r="H11" s="7">
        <f>'Konstanta c triple'!$K$8</f>
        <v>-30.035990859776007</v>
      </c>
      <c r="I11" s="7">
        <f>'Peramalan triple'!$K$8</f>
        <v>11688.837190783999</v>
      </c>
      <c r="J11" s="7">
        <f t="shared" si="2"/>
        <v>-39.047875660323029</v>
      </c>
      <c r="K11" s="7">
        <f t="shared" si="3"/>
        <v>39.047875660323029</v>
      </c>
      <c r="L11" s="7" t="str">
        <f>'Rekap 0,1'!J11</f>
        <v>Oktober</v>
      </c>
      <c r="M11" s="7">
        <f>kg!$K$4</f>
        <v>525723.46</v>
      </c>
      <c r="N11" s="7">
        <f>'Single Exponen'!$K$9</f>
        <v>462303.48715201544</v>
      </c>
      <c r="O11" s="7">
        <f>'Double Exponen'!$K$9</f>
        <v>438039.50833807589</v>
      </c>
      <c r="P11" s="7">
        <f>'triple exponen'!$K$9</f>
        <v>439589.51343653101</v>
      </c>
      <c r="Q11" s="7">
        <f>'Konstanta a triple'!$K$9</f>
        <v>512381.44987834973</v>
      </c>
      <c r="R11" s="7">
        <f>'Konstanta b triple'!$K$9</f>
        <v>19779.673656944538</v>
      </c>
      <c r="S11" s="7">
        <f>'Konstanta c triple'!$K$9</f>
        <v>1613.3739945246671</v>
      </c>
      <c r="T11" s="7">
        <f>'Peramalan triple'!$K$9</f>
        <v>499664.8464811517</v>
      </c>
      <c r="U11" s="7">
        <f t="shared" si="0"/>
        <v>4.9567149844993139</v>
      </c>
      <c r="V11" s="7">
        <f t="shared" si="1"/>
        <v>4.9567149844993139</v>
      </c>
      <c r="W11" s="7" t="str">
        <f>'Rekap 0,1'!S11</f>
        <v>Oktober</v>
      </c>
      <c r="X11" s="7">
        <f>kg!$K$7</f>
        <v>51078.26</v>
      </c>
      <c r="Y11" s="7">
        <f>'Single Exponen'!$K$12</f>
        <v>30326.421785733128</v>
      </c>
      <c r="Z11" s="7">
        <f>'Double Exponen'!$K$12</f>
        <v>18857.450482845699</v>
      </c>
      <c r="AA11" s="7">
        <f>'triple exponen'!$K$12</f>
        <v>10922.269405849604</v>
      </c>
      <c r="AB11" s="7">
        <f>'Konstanta a triple'!$K$12</f>
        <v>45329.183314511894</v>
      </c>
      <c r="AC11" s="7">
        <f>'Konstanta b triple'!$K$12</f>
        <v>4744.5688832266233</v>
      </c>
      <c r="AD11" s="7">
        <f>'Konstanta c triple'!$K$12</f>
        <v>220.8618891182083</v>
      </c>
      <c r="AE11" s="7">
        <f>'Peramalan triple'!$K$12</f>
        <v>39849.594598656018</v>
      </c>
      <c r="AF11" s="7">
        <f t="shared" si="4"/>
        <v>21.983257458934553</v>
      </c>
      <c r="AG11" s="7">
        <f t="shared" si="5"/>
        <v>21.983257458934553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Exponen'!$L$8</f>
        <v>12660.782183504896</v>
      </c>
      <c r="D12" s="7">
        <f>'Double Exponen'!$L$8</f>
        <v>12139.697271360516</v>
      </c>
      <c r="E12" s="7">
        <f>'triple exponen'!$L$8</f>
        <v>12227.768257081147</v>
      </c>
      <c r="F12" s="7">
        <f>'Konstanta a triple'!$L$8</f>
        <v>13791.022993514287</v>
      </c>
      <c r="G12" s="7">
        <f>'Konstanta b triple'!$L$8</f>
        <v>453.88529877688137</v>
      </c>
      <c r="H12" s="7">
        <f>'Konstanta c triple'!$L$8</f>
        <v>38.072243616563242</v>
      </c>
      <c r="I12" s="7">
        <f>'Peramalan triple'!$L$8</f>
        <v>9636.4206904576004</v>
      </c>
      <c r="J12" s="7">
        <f t="shared" si="2"/>
        <v>46.906626792593919</v>
      </c>
      <c r="K12" s="7">
        <f t="shared" si="3"/>
        <v>46.906626792593919</v>
      </c>
      <c r="L12" s="7" t="str">
        <f>'Rekap 0,1'!J12</f>
        <v>November</v>
      </c>
      <c r="M12" s="7">
        <f>kg!$L$4</f>
        <v>480711.96</v>
      </c>
      <c r="N12" s="7">
        <f>'Single Exponen'!$L$9</f>
        <v>465985.18172161235</v>
      </c>
      <c r="O12" s="7">
        <f>'Double Exponen'!$L$9</f>
        <v>443628.64301478321</v>
      </c>
      <c r="P12" s="7">
        <f>'triple exponen'!$L$9</f>
        <v>440397.33935218147</v>
      </c>
      <c r="Q12" s="7">
        <f>'Konstanta a triple'!$L$9</f>
        <v>507466.95547266892</v>
      </c>
      <c r="R12" s="7">
        <f>'Konstanta b triple'!$L$9</f>
        <v>15749.415793953045</v>
      </c>
      <c r="S12" s="7">
        <f>'Konstanta c triple'!$L$9</f>
        <v>1195.3271902642118</v>
      </c>
      <c r="T12" s="7">
        <f>'Peramalan triple'!$L$9</f>
        <v>532967.81053255661</v>
      </c>
      <c r="U12" s="7">
        <f t="shared" si="0"/>
        <v>-10.8705118409279</v>
      </c>
      <c r="V12" s="7">
        <f t="shared" si="1"/>
        <v>10.8705118409279</v>
      </c>
      <c r="W12" s="7" t="str">
        <f>'Rekap 0,1'!S12</f>
        <v>November</v>
      </c>
      <c r="X12" s="7">
        <f>kg!$L$7</f>
        <v>50149.88</v>
      </c>
      <c r="Y12" s="7">
        <f>'Single Exponen'!$L$12</f>
        <v>34291.113428586505</v>
      </c>
      <c r="Z12" s="7">
        <f>'Double Exponen'!$L$12</f>
        <v>21944.183071993859</v>
      </c>
      <c r="AA12" s="7">
        <f>'triple exponen'!$L$12</f>
        <v>13126.652139078455</v>
      </c>
      <c r="AB12" s="7">
        <f>'Konstanta a triple'!$L$12</f>
        <v>50167.443208856384</v>
      </c>
      <c r="AC12" s="7">
        <f>'Konstanta b triple'!$L$12</f>
        <v>4961.7260329766932</v>
      </c>
      <c r="AD12" s="7">
        <f>'Konstanta c triple'!$L$12</f>
        <v>220.58746397982759</v>
      </c>
      <c r="AE12" s="7">
        <f>'Peramalan triple'!$L$12</f>
        <v>50184.183142297625</v>
      </c>
      <c r="AF12" s="7">
        <f t="shared" si="4"/>
        <v>-6.8401245023173227E-2</v>
      </c>
      <c r="AG12" s="7">
        <f t="shared" si="5"/>
        <v>6.8401245023173227E-2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Exponen'!$M$8</f>
        <v>12509.703746803918</v>
      </c>
      <c r="D13" s="7">
        <f>'Double Exponen'!$M$8</f>
        <v>12213.698566449197</v>
      </c>
      <c r="E13" s="7">
        <f>'triple exponen'!$M$8</f>
        <v>12224.954318954758</v>
      </c>
      <c r="F13" s="7">
        <f>'Konstanta a triple'!$M$8</f>
        <v>13112.969860018919</v>
      </c>
      <c r="G13" s="7">
        <f>'Konstanta b triple'!$M$8</f>
        <v>237.23366567070568</v>
      </c>
      <c r="H13" s="7">
        <f>'Konstanta c triple'!$M$8</f>
        <v>19.203808303767687</v>
      </c>
      <c r="I13" s="7">
        <f>'Peramalan triple'!$M$8</f>
        <v>14263.944414099449</v>
      </c>
      <c r="J13" s="7">
        <f t="shared" si="2"/>
        <v>-19.810811860001646</v>
      </c>
      <c r="K13" s="7">
        <f t="shared" si="3"/>
        <v>19.810811860001646</v>
      </c>
      <c r="L13" s="7" t="str">
        <f>'Rekap 0,1'!J13</f>
        <v>Desember</v>
      </c>
      <c r="M13" s="7">
        <f>kg!$M$4</f>
        <v>428532.64</v>
      </c>
      <c r="N13" s="7">
        <f>'Single Exponen'!$M$9</f>
        <v>458494.6733772899</v>
      </c>
      <c r="O13" s="7">
        <f>'Double Exponen'!$M$9</f>
        <v>446601.84908728459</v>
      </c>
      <c r="P13" s="7">
        <f>'triple exponen'!$M$9</f>
        <v>441638.24129920214</v>
      </c>
      <c r="Q13" s="7">
        <f>'Konstanta a triple'!$M$9</f>
        <v>477316.71416921815</v>
      </c>
      <c r="R13" s="7">
        <f>'Konstanta b triple'!$M$9</f>
        <v>6654.3523391478438</v>
      </c>
      <c r="S13" s="7">
        <f>'Konstanta c triple'!$M$9</f>
        <v>433.07603137017941</v>
      </c>
      <c r="T13" s="7">
        <f>'Peramalan triple'!$M$9</f>
        <v>523814.0348617541</v>
      </c>
      <c r="U13" s="7">
        <f t="shared" si="0"/>
        <v>-22.234337823544571</v>
      </c>
      <c r="V13" s="7">
        <f t="shared" si="1"/>
        <v>22.234337823544571</v>
      </c>
      <c r="W13" s="7" t="str">
        <f>'Rekap 0,1'!S13</f>
        <v>Desember</v>
      </c>
      <c r="X13" s="7">
        <f>kg!$M$7</f>
        <v>42897.42</v>
      </c>
      <c r="Y13" s="7">
        <f>'Single Exponen'!$M$12</f>
        <v>36012.3747428692</v>
      </c>
      <c r="Z13" s="7">
        <f>'Double Exponen'!$M$12</f>
        <v>24757.821406168929</v>
      </c>
      <c r="AA13" s="7">
        <f>'triple exponen'!$M$12</f>
        <v>15452.885992496551</v>
      </c>
      <c r="AB13" s="7">
        <f>'Konstanta a triple'!$M$12</f>
        <v>49216.546002597359</v>
      </c>
      <c r="AC13" s="7">
        <f>'Konstanta b triple'!$M$12</f>
        <v>3849.3728557836339</v>
      </c>
      <c r="AD13" s="7">
        <f>'Konstanta c triple'!$M$12</f>
        <v>121.85112018924337</v>
      </c>
      <c r="AE13" s="7">
        <f>'Peramalan triple'!$M$12</f>
        <v>55239.462973822992</v>
      </c>
      <c r="AF13" s="7">
        <f t="shared" si="4"/>
        <v>-28.771061228910721</v>
      </c>
      <c r="AG13" s="7">
        <f t="shared" si="5"/>
        <v>28.771061228910721</v>
      </c>
    </row>
    <row r="14" spans="1:33" x14ac:dyDescent="0.3">
      <c r="J14" s="7">
        <f>(SUM(J3:J13)/12)</f>
        <v>-17.886875453471848</v>
      </c>
      <c r="K14" s="7">
        <f>(SUM(K3:K13)/12)</f>
        <v>44.590873829694367</v>
      </c>
      <c r="U14" s="7">
        <f>(SUM(U3:U13)/12)</f>
        <v>-5.492402425496361</v>
      </c>
      <c r="V14" s="7">
        <f>(SUM(V3:V13)/12)</f>
        <v>24.663937076166096</v>
      </c>
      <c r="AF14" s="7">
        <f>(SUM(AF3:AF13)/12)</f>
        <v>-4.3425818543881022E-2</v>
      </c>
      <c r="AG14" s="7">
        <f>(SUM(AG3:AG13)/12)</f>
        <v>33.630521043324592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Exponen'!$B$10</f>
        <v>23458.3</v>
      </c>
      <c r="O16" s="7">
        <f>'Double Exponen'!$B$10</f>
        <v>23458.3</v>
      </c>
      <c r="P16" s="7">
        <f>'triple exponen'!$B$10</f>
        <v>23458.3</v>
      </c>
      <c r="Q16" s="7">
        <f>'Konstanta a triple'!$B$10</f>
        <v>23458.3</v>
      </c>
      <c r="R16" s="7">
        <f>'Konstanta b triple'!$B$10</f>
        <v>0</v>
      </c>
      <c r="S16" s="7">
        <f>'Konstanta c triple'!$B$10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Exponen'!$C$10</f>
        <v>27209.96</v>
      </c>
      <c r="O17" s="7">
        <f>'Double Exponen'!$C$10</f>
        <v>24208.631999999998</v>
      </c>
      <c r="P17" s="7">
        <f>'triple exponen'!$C$10</f>
        <v>23608.366399999999</v>
      </c>
      <c r="Q17" s="7">
        <f>'Konstanta a triple'!$C$10</f>
        <v>32612.35040000001</v>
      </c>
      <c r="R17" s="7">
        <f>'Konstanta b triple'!$C$10</f>
        <v>2025.8963999999987</v>
      </c>
      <c r="S17" s="7">
        <f>'Konstanta c triple'!$C$10</f>
        <v>150.06640000000016</v>
      </c>
      <c r="T17" s="7">
        <f>'Peramalan triple'!$C$10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Exponen'!$D$10</f>
        <v>27518.348000000002</v>
      </c>
      <c r="O18" s="7">
        <f>'Double Exponen'!$D$10</f>
        <v>24870.575199999999</v>
      </c>
      <c r="P18" s="7">
        <f>'triple exponen'!$D$10</f>
        <v>23860.80816</v>
      </c>
      <c r="Q18" s="7">
        <f>'Konstanta a triple'!$D$10</f>
        <v>31804.126560000004</v>
      </c>
      <c r="R18" s="7">
        <f>'Konstanta b triple'!$D$10</f>
        <v>1532.1337600000013</v>
      </c>
      <c r="S18" s="7">
        <f>'Konstanta c triple'!$D$10</f>
        <v>102.37536000000023</v>
      </c>
      <c r="T18" s="7">
        <f>'Peramalan triple'!$D$10</f>
        <v>34713.280000000006</v>
      </c>
      <c r="U18" s="7">
        <f t="shared" si="6"/>
        <v>-20.733864544604025</v>
      </c>
      <c r="V18" s="7">
        <f t="shared" si="7"/>
        <v>20.733864544604025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Exponen'!$E$10</f>
        <v>29890.058400000005</v>
      </c>
      <c r="O19" s="7">
        <f>'Double Exponen'!$E$10</f>
        <v>25874.471840000006</v>
      </c>
      <c r="P19" s="7">
        <f>'triple exponen'!$E$10</f>
        <v>24263.540896000002</v>
      </c>
      <c r="Q19" s="7">
        <f>'Konstanta a triple'!$E$10</f>
        <v>36310.300576000009</v>
      </c>
      <c r="R19" s="7">
        <f>'Konstanta b triple'!$E$10</f>
        <v>2281.3699359999937</v>
      </c>
      <c r="S19" s="7">
        <f>'Konstanta c triple'!$E$10</f>
        <v>150.29097599999977</v>
      </c>
      <c r="T19" s="7">
        <f>'Peramalan triple'!$E$10</f>
        <v>33387.448000000011</v>
      </c>
      <c r="U19" s="7">
        <f t="shared" si="6"/>
        <v>15.210572696174635</v>
      </c>
      <c r="V19" s="7">
        <f t="shared" si="7"/>
        <v>15.210572696174635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Exponen'!$F$10</f>
        <v>28684.366720000005</v>
      </c>
      <c r="O20" s="7">
        <f>'Double Exponen'!$F$10</f>
        <v>26436.450816000004</v>
      </c>
      <c r="P20" s="7">
        <f>'triple exponen'!$F$10</f>
        <v>24698.122880000003</v>
      </c>
      <c r="Q20" s="7">
        <f>'Konstanta a triple'!$F$10</f>
        <v>31441.870591999999</v>
      </c>
      <c r="R20" s="7">
        <f>'Konstanta b triple'!$F$10</f>
        <v>832.69758399999762</v>
      </c>
      <c r="S20" s="7">
        <f>'Konstanta c triple'!$F$10</f>
        <v>31.849247999999989</v>
      </c>
      <c r="T20" s="7">
        <f>'Peramalan triple'!$F$10</f>
        <v>38666.816000000006</v>
      </c>
      <c r="U20" s="7">
        <f t="shared" si="6"/>
        <v>-62.046199751902677</v>
      </c>
      <c r="V20" s="7">
        <f t="shared" si="7"/>
        <v>62.046199751902677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Exponen'!$G$10</f>
        <v>34390.873376000003</v>
      </c>
      <c r="O21" s="7">
        <f>'Double Exponen'!$G$10</f>
        <v>28027.335328000005</v>
      </c>
      <c r="P21" s="7">
        <f>'triple exponen'!$G$10</f>
        <v>25363.965369600006</v>
      </c>
      <c r="Q21" s="7">
        <f>'Konstanta a triple'!$G$10</f>
        <v>44454.579513599994</v>
      </c>
      <c r="R21" s="7">
        <f>'Konstanta b triple'!$G$10</f>
        <v>3556.5988095999951</v>
      </c>
      <c r="S21" s="7">
        <f>'Konstanta c triple'!$G$10</f>
        <v>231.26050559999999</v>
      </c>
      <c r="T21" s="7">
        <f>'Peramalan triple'!$G$10</f>
        <v>32290.492799999996</v>
      </c>
      <c r="U21" s="7">
        <f t="shared" si="6"/>
        <v>43.564763557620225</v>
      </c>
      <c r="V21" s="7">
        <f t="shared" si="7"/>
        <v>43.564763557620225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Exponen'!$H$10</f>
        <v>44260.038700800003</v>
      </c>
      <c r="O22" s="7">
        <f>'Double Exponen'!$H$10</f>
        <v>31273.876002560006</v>
      </c>
      <c r="P22" s="7">
        <f>'triple exponen'!$H$10</f>
        <v>26545.94749619201</v>
      </c>
      <c r="Q22" s="7">
        <f>'Konstanta a triple'!$H$10</f>
        <v>65504.435590911991</v>
      </c>
      <c r="R22" s="7">
        <f>'Konstanta b triple'!$H$10</f>
        <v>7633.7275889920002</v>
      </c>
      <c r="S22" s="7">
        <f>'Konstanta c triple'!$H$10</f>
        <v>516.13963699200008</v>
      </c>
      <c r="T22" s="7">
        <f>'Peramalan triple'!$H$10</f>
        <v>48126.808575999989</v>
      </c>
      <c r="U22" s="7">
        <f t="shared" si="6"/>
        <v>42.526026729020863</v>
      </c>
      <c r="V22" s="7">
        <f t="shared" si="7"/>
        <v>42.526026729020863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Exponen'!$I$10</f>
        <v>46218.670960640004</v>
      </c>
      <c r="O23" s="7">
        <f>'Double Exponen'!$I$10</f>
        <v>34262.83499417601</v>
      </c>
      <c r="P23" s="7">
        <f>'triple exponen'!$I$10</f>
        <v>28089.324995788811</v>
      </c>
      <c r="Q23" s="7">
        <f>'Konstanta a triple'!$I$10</f>
        <v>63956.832895180785</v>
      </c>
      <c r="R23" s="7">
        <f>'Konstanta b triple'!$I$10</f>
        <v>6060.8196621567904</v>
      </c>
      <c r="S23" s="7">
        <f>'Konstanta c triple'!$I$10</f>
        <v>361.39537300479969</v>
      </c>
      <c r="T23" s="7">
        <f>'Peramalan triple'!$I$10</f>
        <v>73396.232998399995</v>
      </c>
      <c r="U23" s="7">
        <f t="shared" si="6"/>
        <v>-35.785176452827955</v>
      </c>
      <c r="V23" s="7">
        <f t="shared" si="7"/>
        <v>35.785176452827955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Exponen'!$J$10</f>
        <v>39227.836768512003</v>
      </c>
      <c r="O24" s="7">
        <f>'Double Exponen'!$J$10</f>
        <v>35255.835349043205</v>
      </c>
      <c r="P24" s="7">
        <f>'triple exponen'!$J$10</f>
        <v>29522.627066439691</v>
      </c>
      <c r="Q24" s="7">
        <f>'Konstanta a triple'!$J$10</f>
        <v>41438.631324846079</v>
      </c>
      <c r="R24" s="7">
        <f>'Konstanta b triple'!$J$10</f>
        <v>57.359208826881051</v>
      </c>
      <c r="S24" s="7">
        <f>'Konstanta c triple'!$J$10</f>
        <v>-110.07542894591984</v>
      </c>
      <c r="T24" s="7">
        <f>'Peramalan triple'!$J$10</f>
        <v>70198.350243839974</v>
      </c>
      <c r="U24" s="7">
        <f t="shared" si="6"/>
        <v>-523.18212298672802</v>
      </c>
      <c r="V24" s="7">
        <f t="shared" si="7"/>
        <v>523.18212298672802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Exponen'!$K$10</f>
        <v>36225.269414809605</v>
      </c>
      <c r="O25" s="7">
        <f>'Double Exponen'!$K$10</f>
        <v>35449.722162196485</v>
      </c>
      <c r="P25" s="7">
        <f>'triple exponen'!$K$10</f>
        <v>30708.04608559105</v>
      </c>
      <c r="Q25" s="7">
        <f>'Konstanta a triple'!$K$10</f>
        <v>33034.687843430409</v>
      </c>
      <c r="R25" s="7">
        <f>'Konstanta b triple'!$K$10</f>
        <v>-1913.1191245926445</v>
      </c>
      <c r="S25" s="7">
        <f>'Konstanta c triple'!$K$10</f>
        <v>-247.88305149951975</v>
      </c>
      <c r="T25" s="7">
        <f>'Peramalan triple'!$K$10</f>
        <v>41440.9528192</v>
      </c>
      <c r="U25" s="7">
        <f t="shared" si="6"/>
        <v>-71.137529709684074</v>
      </c>
      <c r="V25" s="7">
        <f t="shared" si="7"/>
        <v>71.137529709684074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Exponen'!$L$10</f>
        <v>34352.33553184769</v>
      </c>
      <c r="O26" s="7">
        <f>'Double Exponen'!$L$10</f>
        <v>35230.244836126731</v>
      </c>
      <c r="P26" s="7">
        <f>'triple exponen'!$L$10</f>
        <v>31612.485835698186</v>
      </c>
      <c r="Q26" s="7">
        <f>'Konstanta a triple'!$L$10</f>
        <v>28978.757922861056</v>
      </c>
      <c r="R26" s="7">
        <f>'Konstanta b triple'!$L$10</f>
        <v>-2607.801112945669</v>
      </c>
      <c r="S26" s="7">
        <f>'Konstanta c triple'!$L$10</f>
        <v>-280.97926904422411</v>
      </c>
      <c r="T26" s="7">
        <f>'Peramalan triple'!$L$10</f>
        <v>30997.627193088003</v>
      </c>
      <c r="U26" s="7">
        <f t="shared" si="6"/>
        <v>-15.401842077570882</v>
      </c>
      <c r="V26" s="7">
        <f t="shared" si="7"/>
        <v>15.401842077570882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Exponen'!$M$10</f>
        <v>34252.408425478156</v>
      </c>
      <c r="O27" s="7">
        <f>'Double Exponen'!$M$10</f>
        <v>35034.677553997019</v>
      </c>
      <c r="P27" s="7">
        <f>'triple exponen'!$M$10</f>
        <v>32296.924179357957</v>
      </c>
      <c r="Q27" s="7">
        <f>'Konstanta a triple'!$M$10</f>
        <v>29950.116793801382</v>
      </c>
      <c r="R27" s="7">
        <f>'Konstanta b triple'!$M$10</f>
        <v>-2065.5792369323644</v>
      </c>
      <c r="S27" s="7">
        <f>'Konstanta c triple'!$M$10</f>
        <v>-220.0014064473703</v>
      </c>
      <c r="T27" s="7">
        <f>'Peramalan triple'!$M$10</f>
        <v>26230.467175393274</v>
      </c>
      <c r="U27" s="7">
        <f t="shared" si="6"/>
        <v>22.515878569823748</v>
      </c>
      <c r="V27" s="7">
        <f t="shared" si="7"/>
        <v>22.515878569823748</v>
      </c>
    </row>
    <row r="28" spans="12:22" x14ac:dyDescent="0.3">
      <c r="U28" s="7">
        <f>(SUM(U17:U27)/12)</f>
        <v>-46.669668722655963</v>
      </c>
      <c r="V28" s="7">
        <f>(SUM(V17:V27)/12)</f>
        <v>74.711453864563637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Exponen'!$B$11</f>
        <v>4698.6499999999996</v>
      </c>
      <c r="O30" s="7">
        <f>'Double Exponen'!$B$11</f>
        <v>4698.6499999999996</v>
      </c>
      <c r="P30" s="7">
        <f>'triple exponen'!$B$11</f>
        <v>4698.6499999999996</v>
      </c>
      <c r="Q30" s="7">
        <f>'Konstanta a triple'!$B$11</f>
        <v>4698.6499999999996</v>
      </c>
      <c r="R30" s="7">
        <f>'Konstanta b triple'!$B$11</f>
        <v>2.8421709430404002E-13</v>
      </c>
      <c r="S30" s="7">
        <f>'Konstanta c triple'!$B$11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Exponen'!$C$11</f>
        <v>5487.92</v>
      </c>
      <c r="O31" s="7">
        <f>'Double Exponen'!$C$11</f>
        <v>4856.5039999999999</v>
      </c>
      <c r="P31" s="7">
        <f>'triple exponen'!$C$11</f>
        <v>4730.2208000000001</v>
      </c>
      <c r="Q31" s="7">
        <f>'Konstanta a triple'!$C$11</f>
        <v>6624.4688000000033</v>
      </c>
      <c r="R31" s="7">
        <f>'Konstanta b triple'!$C$11</f>
        <v>426.20579999999956</v>
      </c>
      <c r="S31" s="7">
        <f>'Konstanta c triple'!$C$11</f>
        <v>31.57080000000002</v>
      </c>
      <c r="T31" s="7">
        <f>'Peramalan triple'!$C$11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Exponen'!$D$11</f>
        <v>5988.2260000000006</v>
      </c>
      <c r="O32" s="7">
        <f>'Double Exponen'!$D$11</f>
        <v>5082.8483999999999</v>
      </c>
      <c r="P32" s="7">
        <f>'triple exponen'!$D$11</f>
        <v>4800.7463200000002</v>
      </c>
      <c r="Q32" s="7">
        <f>'Konstanta a triple'!$D$11</f>
        <v>7516.8791199999996</v>
      </c>
      <c r="R32" s="7">
        <f>'Konstanta b triple'!$D$11</f>
        <v>557.45952000000068</v>
      </c>
      <c r="S32" s="7">
        <f>'Konstanta c triple'!$D$11</f>
        <v>38.954720000000066</v>
      </c>
      <c r="T32" s="7">
        <f>'Peramalan triple'!$D$11</f>
        <v>7066.4600000000028</v>
      </c>
      <c r="U32" s="7">
        <f t="shared" si="8"/>
        <v>11.552610004443324</v>
      </c>
      <c r="V32" s="7">
        <f t="shared" si="9"/>
        <v>11.552610004443324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Exponen'!$E$11</f>
        <v>6099.2928000000011</v>
      </c>
      <c r="O33" s="7">
        <f>'Double Exponen'!$E$11</f>
        <v>5286.1372800000008</v>
      </c>
      <c r="P33" s="7">
        <f>'triple exponen'!$E$11</f>
        <v>4897.8245120000011</v>
      </c>
      <c r="Q33" s="7">
        <f>'Konstanta a triple'!$E$11</f>
        <v>7337.291072</v>
      </c>
      <c r="R33" s="7">
        <f>'Konstanta b triple'!$E$11</f>
        <v>428.98659200000048</v>
      </c>
      <c r="S33" s="7">
        <f>'Konstanta c triple'!$E$11</f>
        <v>26.55267200000003</v>
      </c>
      <c r="T33" s="7">
        <f>'Peramalan triple'!$E$11</f>
        <v>8093.8159999999998</v>
      </c>
      <c r="U33" s="7">
        <f t="shared" si="8"/>
        <v>-23.691323988776741</v>
      </c>
      <c r="V33" s="7">
        <f t="shared" si="9"/>
        <v>23.691323988776741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Exponen'!$F$11</f>
        <v>14018.954240000003</v>
      </c>
      <c r="O34" s="7">
        <f>'Double Exponen'!$F$11</f>
        <v>7032.7006720000018</v>
      </c>
      <c r="P34" s="7">
        <f>'triple exponen'!$F$11</f>
        <v>5324.7997440000017</v>
      </c>
      <c r="Q34" s="7">
        <f>'Konstanta a triple'!$F$11</f>
        <v>26283.560448000004</v>
      </c>
      <c r="R34" s="7">
        <f>'Konstanta b triple'!$F$11</f>
        <v>4550.6882319999995</v>
      </c>
      <c r="S34" s="7">
        <f>'Konstanta c triple'!$F$11</f>
        <v>329.89704000000006</v>
      </c>
      <c r="T34" s="7">
        <f>'Peramalan triple'!$F$11</f>
        <v>7779.5540000000001</v>
      </c>
      <c r="U34" s="7">
        <f t="shared" si="8"/>
        <v>82.976011869332311</v>
      </c>
      <c r="V34" s="7">
        <f t="shared" si="9"/>
        <v>82.976011869332311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Exponen'!$G$11</f>
        <v>12603.767392000002</v>
      </c>
      <c r="O35" s="7">
        <f>'Double Exponen'!$G$11</f>
        <v>8146.9140160000024</v>
      </c>
      <c r="P35" s="7">
        <f>'triple exponen'!$G$11</f>
        <v>5889.2225984000015</v>
      </c>
      <c r="Q35" s="7">
        <f>'Konstanta a triple'!$G$11</f>
        <v>19259.782726400001</v>
      </c>
      <c r="R35" s="7">
        <f>'Konstanta b triple'!$G$11</f>
        <v>2282.5181343999975</v>
      </c>
      <c r="S35" s="7">
        <f>'Konstanta c triple'!$G$11</f>
        <v>137.44762239999989</v>
      </c>
      <c r="T35" s="7">
        <f>'Peramalan triple'!$G$11</f>
        <v>30999.197200000006</v>
      </c>
      <c r="U35" s="7">
        <f t="shared" si="8"/>
        <v>-346.48002166204338</v>
      </c>
      <c r="V35" s="7">
        <f t="shared" si="9"/>
        <v>346.48002166204338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Exponen'!$H$11</f>
        <v>11808.555913600001</v>
      </c>
      <c r="O36" s="7">
        <f>'Double Exponen'!$H$11</f>
        <v>8879.2423955200029</v>
      </c>
      <c r="P36" s="7">
        <f>'triple exponen'!$H$11</f>
        <v>6487.2265578240022</v>
      </c>
      <c r="Q36" s="7">
        <f>'Konstanta a triple'!$H$11</f>
        <v>15275.167112063997</v>
      </c>
      <c r="R36" s="7">
        <f>'Konstanta b triple'!$H$11</f>
        <v>1017.7677722239972</v>
      </c>
      <c r="S36" s="7">
        <f>'Konstanta c triple'!$H$11</f>
        <v>33.581105023999839</v>
      </c>
      <c r="T36" s="7">
        <f>'Peramalan triple'!$H$11</f>
        <v>21611.024672</v>
      </c>
      <c r="U36" s="7">
        <f t="shared" si="8"/>
        <v>-150.48390212466578</v>
      </c>
      <c r="V36" s="7">
        <f t="shared" si="9"/>
        <v>150.48390212466578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Exponen'!$I$11</f>
        <v>12885.644730880002</v>
      </c>
      <c r="O37" s="7">
        <f>'Double Exponen'!$I$11</f>
        <v>9680.5228625920026</v>
      </c>
      <c r="P37" s="7">
        <f>'triple exponen'!$I$11</f>
        <v>7125.8858187776023</v>
      </c>
      <c r="Q37" s="7">
        <f>'Konstanta a triple'!$I$11</f>
        <v>16741.251423641603</v>
      </c>
      <c r="R37" s="7">
        <f>'Konstanta b triple'!$I$11</f>
        <v>1146.8505300735976</v>
      </c>
      <c r="S37" s="7">
        <f>'Konstanta c triple'!$I$11</f>
        <v>40.65530152959991</v>
      </c>
      <c r="T37" s="7">
        <f>'Peramalan triple'!$I$11</f>
        <v>16309.725436799994</v>
      </c>
      <c r="U37" s="7">
        <f t="shared" si="8"/>
        <v>5.1429252250785504</v>
      </c>
      <c r="V37" s="7">
        <f t="shared" si="9"/>
        <v>5.1429252250785504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Exponen'!$J$11</f>
        <v>13756.915784704002</v>
      </c>
      <c r="O38" s="7">
        <f>'Double Exponen'!$J$11</f>
        <v>10495.801447014403</v>
      </c>
      <c r="P38" s="7">
        <f>'triple exponen'!$J$11</f>
        <v>7799.868944424963</v>
      </c>
      <c r="Q38" s="7">
        <f>'Konstanta a triple'!$J$11</f>
        <v>17583.211957493761</v>
      </c>
      <c r="R38" s="7">
        <f>'Konstanta b triple'!$J$11</f>
        <v>1115.5314343193581</v>
      </c>
      <c r="S38" s="7">
        <f>'Konstanta c triple'!$J$11</f>
        <v>35.323864693760015</v>
      </c>
      <c r="T38" s="7">
        <f>'Peramalan triple'!$J$11</f>
        <v>17908.429604479999</v>
      </c>
      <c r="U38" s="7">
        <f t="shared" si="8"/>
        <v>-3.8651525604918193</v>
      </c>
      <c r="V38" s="7">
        <f t="shared" si="9"/>
        <v>3.8651525604918193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Exponen'!$K$11</f>
        <v>18038.972627763203</v>
      </c>
      <c r="O39" s="7">
        <f>'Double Exponen'!$K$11</f>
        <v>12004.435683164163</v>
      </c>
      <c r="P39" s="7">
        <f>'triple exponen'!$K$11</f>
        <v>8640.7822921728039</v>
      </c>
      <c r="Q39" s="7">
        <f>'Konstanta a triple'!$K$11</f>
        <v>26744.393125969927</v>
      </c>
      <c r="R39" s="7">
        <f>'Konstanta b triple'!$K$11</f>
        <v>2927.5411240038393</v>
      </c>
      <c r="S39" s="7">
        <f>'Konstanta c triple'!$K$11</f>
        <v>166.93022210048002</v>
      </c>
      <c r="T39" s="7">
        <f>'Peramalan triple'!$K$11</f>
        <v>18716.405324159998</v>
      </c>
      <c r="U39" s="7">
        <f t="shared" si="8"/>
        <v>46.778801485020132</v>
      </c>
      <c r="V39" s="7">
        <f t="shared" si="9"/>
        <v>46.778801485020132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Exponen'!$L$11</f>
        <v>15739.858102210565</v>
      </c>
      <c r="O40" s="7">
        <f>'Double Exponen'!$L$11</f>
        <v>12751.520166973443</v>
      </c>
      <c r="P40" s="7">
        <f>'triple exponen'!$L$11</f>
        <v>9462.9298671329325</v>
      </c>
      <c r="Q40" s="7">
        <f>'Konstanta a triple'!$L$11</f>
        <v>18427.943672844296</v>
      </c>
      <c r="R40" s="7">
        <f>'Konstanta b triple'!$L$11</f>
        <v>587.57541511372824</v>
      </c>
      <c r="S40" s="7">
        <f>'Konstanta c triple'!$L$11</f>
        <v>-18.765772787711853</v>
      </c>
      <c r="T40" s="7">
        <f>'Peramalan triple'!$L$11</f>
        <v>29755.399361024007</v>
      </c>
      <c r="U40" s="7">
        <f t="shared" si="8"/>
        <v>-354.73911668282551</v>
      </c>
      <c r="V40" s="7">
        <f t="shared" si="9"/>
        <v>354.73911668282551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Exponen'!$M$11</f>
        <v>14272.194481768453</v>
      </c>
      <c r="O41" s="7">
        <f>'Double Exponen'!$M$11</f>
        <v>13055.655029932446</v>
      </c>
      <c r="P41" s="7">
        <f>'triple exponen'!$M$11</f>
        <v>10181.474899692836</v>
      </c>
      <c r="Q41" s="7">
        <f>'Konstanta a triple'!$M$11</f>
        <v>13831.093255200849</v>
      </c>
      <c r="R41" s="7">
        <f>'Konstanta b triple'!$M$11</f>
        <v>-576.48674744291372</v>
      </c>
      <c r="S41" s="7">
        <f>'Konstanta c triple'!$M$11</f>
        <v>-103.60254240022527</v>
      </c>
      <c r="T41" s="7">
        <f>'Peramalan triple'!$M$11</f>
        <v>19006.136201564172</v>
      </c>
      <c r="U41" s="7">
        <f t="shared" si="8"/>
        <v>-126.22205216620013</v>
      </c>
      <c r="V41" s="7">
        <f t="shared" si="9"/>
        <v>126.22205216620013</v>
      </c>
    </row>
    <row r="42" spans="12:22" x14ac:dyDescent="0.3">
      <c r="U42" s="7">
        <f>(SUM(U31:U41)/12)</f>
        <v>-67.781857548648162</v>
      </c>
      <c r="V42" s="7">
        <f>(SUM(V31:V41)/12)</f>
        <v>99.798403982185732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85B86-E631-4A2C-B224-E1B6F631211D}">
  <dimension ref="A1:AG42"/>
  <sheetViews>
    <sheetView topLeftCell="F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2" width="9.44140625" style="6" bestFit="1" customWidth="1"/>
    <col min="3" max="5" width="8.44140625" style="6" bestFit="1" customWidth="1"/>
    <col min="6" max="6" width="9.44140625" style="6" bestFit="1" customWidth="1"/>
    <col min="7" max="7" width="8.44140625" style="6" bestFit="1" customWidth="1"/>
    <col min="8" max="8" width="7.44140625" style="6" bestFit="1" customWidth="1"/>
    <col min="9" max="9" width="9.44140625" style="6" bestFit="1" customWidth="1"/>
    <col min="10" max="10" width="7.109375" style="6" bestFit="1" customWidth="1"/>
    <col min="11" max="11" width="6.44140625" style="6" bestFit="1" customWidth="1"/>
    <col min="12" max="12" width="13.6640625" style="6" bestFit="1" customWidth="1"/>
    <col min="13" max="17" width="9.44140625" style="6" bestFit="1" customWidth="1"/>
    <col min="18" max="18" width="9.109375" style="6" bestFit="1" customWidth="1"/>
    <col min="19" max="19" width="8.109375" style="6" bestFit="1" customWidth="1"/>
    <col min="20" max="20" width="9.44140625" style="6" bestFit="1" customWidth="1"/>
    <col min="21" max="21" width="7.109375" style="6" bestFit="1" customWidth="1"/>
    <col min="22" max="22" width="6.44140625" style="6" bestFit="1" customWidth="1"/>
    <col min="23" max="23" width="14.109375" style="6" bestFit="1" customWidth="1"/>
    <col min="24" max="28" width="8.44140625" style="6" bestFit="1" customWidth="1"/>
    <col min="29" max="29" width="8.109375" style="6" bestFit="1" customWidth="1"/>
    <col min="30" max="30" width="7.109375" style="6" bestFit="1" customWidth="1"/>
    <col min="31" max="31" width="8.44140625" style="6" bestFit="1" customWidth="1"/>
    <col min="32" max="32" width="7.109375" style="6" bestFit="1" customWidth="1"/>
    <col min="33" max="33" width="6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Exponen'!$B$14</f>
        <v>12588.09</v>
      </c>
      <c r="D2" s="7">
        <f>'Double Exponen'!$B$14</f>
        <v>12588.09</v>
      </c>
      <c r="E2" s="7">
        <f>'triple exponen'!$B$14</f>
        <v>12588.09</v>
      </c>
      <c r="F2" s="7">
        <f>'Konstanta a triple'!$B$14</f>
        <v>12588.09</v>
      </c>
      <c r="G2" s="7">
        <f>'Konstanta b triple'!$B$14</f>
        <v>2.2273339635255386E-12</v>
      </c>
      <c r="H2" s="7">
        <f>'Konstanta c triple'!$B$14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Exponen'!$B$15</f>
        <v>459915.78</v>
      </c>
      <c r="O2" s="7">
        <f>'Double Exponen'!$B$15</f>
        <v>459915.78</v>
      </c>
      <c r="P2" s="7">
        <f>'triple exponen'!$B$15</f>
        <v>459915.78</v>
      </c>
      <c r="Q2" s="7">
        <f>'Konstanta a triple'!$B$15</f>
        <v>459915.78</v>
      </c>
      <c r="R2" s="7">
        <f>'Konstanta b triple'!$B$15</f>
        <v>1.4254937366563447E-10</v>
      </c>
      <c r="S2" s="7">
        <f>'Konstanta c triple'!$B$15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Exponen'!$B$18</f>
        <v>1033.08</v>
      </c>
      <c r="Z2" s="7">
        <f>'Double Exponen'!$B$18</f>
        <v>1033.08</v>
      </c>
      <c r="AA2" s="7">
        <f>'triple exponen'!$B$18</f>
        <v>1033.08</v>
      </c>
      <c r="AB2" s="7">
        <f>'Konstanta a triple'!$B$18</f>
        <v>1033.08</v>
      </c>
      <c r="AC2" s="7">
        <f>'Konstanta b triple'!$B$18</f>
        <v>0</v>
      </c>
      <c r="AD2" s="7">
        <f>'Konstanta c triple'!$B$18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Exponen'!$C$14</f>
        <v>10248.588</v>
      </c>
      <c r="D3" s="7">
        <f>'Double Exponen'!$C$14</f>
        <v>11886.239399999999</v>
      </c>
      <c r="E3" s="7">
        <f>'triple exponen'!$C$14</f>
        <v>12377.534820000001</v>
      </c>
      <c r="F3" s="7">
        <f>'Konstanta a triple'!$C$14</f>
        <v>7464.5806200000043</v>
      </c>
      <c r="G3" s="7">
        <f>'Konstanta b triple'!$C$14</f>
        <v>-1789.7190299999941</v>
      </c>
      <c r="H3" s="7">
        <f>'Konstanta c triple'!$C$14</f>
        <v>-210.55517999999938</v>
      </c>
      <c r="I3" s="7">
        <f>'Peramalan triple'!$C$14</f>
        <v>12588.090000000002</v>
      </c>
      <c r="J3" s="7">
        <f>((B3-I3)/B3)*100</f>
        <v>-162.81309045357278</v>
      </c>
      <c r="K3" s="7">
        <f>ABS((B3-I3)/B3)*100</f>
        <v>162.81309045357278</v>
      </c>
      <c r="L3" s="7" t="str">
        <f>'Rekap 0,1'!J3</f>
        <v>Februari</v>
      </c>
      <c r="M3" s="7">
        <f>kg!$C$4</f>
        <v>397220.76</v>
      </c>
      <c r="N3" s="7">
        <f>'Single Exponen'!$C$15</f>
        <v>441107.27399999998</v>
      </c>
      <c r="O3" s="7">
        <f>'Double Exponen'!$C$15</f>
        <v>454273.22819999995</v>
      </c>
      <c r="P3" s="7">
        <f>'triple exponen'!$C$15</f>
        <v>458223.01446000003</v>
      </c>
      <c r="Q3" s="7">
        <f>'Konstanta a triple'!$C$15</f>
        <v>418725.15186000016</v>
      </c>
      <c r="R3" s="7">
        <f>'Konstanta b triple'!$C$15</f>
        <v>-14388.50708999987</v>
      </c>
      <c r="S3" s="7">
        <f>'Konstanta c triple'!$C$15</f>
        <v>-1692.7655399999812</v>
      </c>
      <c r="T3" s="7">
        <f>'Peramalan triple'!$C$15</f>
        <v>459915.78000000014</v>
      </c>
      <c r="U3" s="7">
        <f t="shared" ref="U3:U13" si="0">((M3-T3)/M3)*100</f>
        <v>-15.783419778966268</v>
      </c>
      <c r="V3" s="7">
        <f t="shared" ref="V3:V13" si="1">ABS((M3-T3)/M3)*100</f>
        <v>15.783419778966268</v>
      </c>
      <c r="W3" s="7" t="str">
        <f>'Rekap 0,1'!S3</f>
        <v>Februari</v>
      </c>
      <c r="X3" s="7">
        <f>kg!$C$7</f>
        <v>25477.94</v>
      </c>
      <c r="Y3" s="7">
        <f>'Single Exponen'!$C$18</f>
        <v>8366.5380000000005</v>
      </c>
      <c r="Z3" s="7">
        <f>'Double Exponen'!$C$18</f>
        <v>3233.1174000000001</v>
      </c>
      <c r="AA3" s="7">
        <f>'triple exponen'!$C$18</f>
        <v>1693.0912200000002</v>
      </c>
      <c r="AB3" s="7">
        <f>'Konstanta a triple'!$C$18</f>
        <v>17093.353020000002</v>
      </c>
      <c r="AC3" s="7">
        <f>'Konstanta b triple'!$C$18</f>
        <v>5610.0953700000009</v>
      </c>
      <c r="AD3" s="7">
        <f>'Konstanta c triple'!$C$18</f>
        <v>660.01122000000009</v>
      </c>
      <c r="AE3" s="7">
        <f>'Peramalan triple'!$C$18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Exponen'!$D$14</f>
        <v>13481.7636</v>
      </c>
      <c r="D4" s="7">
        <f>'Double Exponen'!$D$14</f>
        <v>12364.896659999999</v>
      </c>
      <c r="E4" s="7">
        <f>'triple exponen'!$D$14</f>
        <v>12373.743372000001</v>
      </c>
      <c r="F4" s="7">
        <f>'Konstanta a triple'!$D$14</f>
        <v>15724.344192000008</v>
      </c>
      <c r="G4" s="7">
        <f>'Konstanta b triple'!$D$14</f>
        <v>1546.9365420000067</v>
      </c>
      <c r="H4" s="7">
        <f>'Konstanta c triple'!$D$14</f>
        <v>206.76373200000074</v>
      </c>
      <c r="I4" s="7">
        <f>'Peramalan triple'!$D$14</f>
        <v>5569.5840000000107</v>
      </c>
      <c r="J4" s="7">
        <f t="shared" ref="J4:J13" si="2">((B4-I4)/B4)*100</f>
        <v>73.510765800557749</v>
      </c>
      <c r="K4" s="7">
        <f t="shared" ref="K4:K13" si="3">ABS((B4-I4)/B4)*100</f>
        <v>73.510765800557749</v>
      </c>
      <c r="L4" s="7" t="str">
        <f>'Rekap 0,1'!J4</f>
        <v>Maret</v>
      </c>
      <c r="M4" s="7">
        <f>kg!$D$4</f>
        <v>389238.98</v>
      </c>
      <c r="N4" s="7">
        <f>'Single Exponen'!$D$15</f>
        <v>425546.78579999995</v>
      </c>
      <c r="O4" s="7">
        <f>'Double Exponen'!$D$15</f>
        <v>445655.29547999991</v>
      </c>
      <c r="P4" s="7">
        <f>'triple exponen'!$D$15</f>
        <v>454452.69876600004</v>
      </c>
      <c r="Q4" s="7">
        <f>'Konstanta a triple'!$D$15</f>
        <v>394127.16972600011</v>
      </c>
      <c r="R4" s="7">
        <f>'Konstanta b triple'!$D$15</f>
        <v>-19351.941848999762</v>
      </c>
      <c r="S4" s="7">
        <f>'Konstanta c triple'!$D$15</f>
        <v>-2077.5501539999686</v>
      </c>
      <c r="T4" s="7">
        <f>'Peramalan triple'!$D$15</f>
        <v>403490.26200000034</v>
      </c>
      <c r="U4" s="7">
        <f t="shared" si="0"/>
        <v>-3.6613193262402333</v>
      </c>
      <c r="V4" s="7">
        <f t="shared" si="1"/>
        <v>3.6613193262402333</v>
      </c>
      <c r="W4" s="7" t="str">
        <f>'Rekap 0,1'!S4</f>
        <v>Maret</v>
      </c>
      <c r="X4" s="7">
        <f>kg!$D$7</f>
        <v>19497.02</v>
      </c>
      <c r="Y4" s="7">
        <f>'Single Exponen'!$D$18</f>
        <v>11705.6826</v>
      </c>
      <c r="Z4" s="7">
        <f>'Double Exponen'!$D$18</f>
        <v>5774.8869599999998</v>
      </c>
      <c r="AA4" s="7">
        <f>'triple exponen'!$D$18</f>
        <v>2917.6299420000005</v>
      </c>
      <c r="AB4" s="7">
        <f>'Konstanta a triple'!$D$18</f>
        <v>20710.016862</v>
      </c>
      <c r="AC4" s="7">
        <f>'Konstanta b triple'!$D$18</f>
        <v>5458.4949870000009</v>
      </c>
      <c r="AD4" s="7">
        <f>'Konstanta c triple'!$D$18</f>
        <v>564.52750200000025</v>
      </c>
      <c r="AE4" s="7">
        <f>'Peramalan triple'!$D$18</f>
        <v>23033.454000000005</v>
      </c>
      <c r="AF4" s="7">
        <f t="shared" ref="AF4:AF13" si="4">((X4-AE4)/X4)*100</f>
        <v>-18.138330883386306</v>
      </c>
      <c r="AG4" s="7">
        <f t="shared" ref="AG4:AG13" si="5">ABS((X4-AE4)/X4)*100</f>
        <v>18.138330883386306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Exponen'!$E$14</f>
        <v>12767.525519999999</v>
      </c>
      <c r="D5" s="7">
        <f>'Double Exponen'!$E$14</f>
        <v>12485.685317999998</v>
      </c>
      <c r="E5" s="7">
        <f>'triple exponen'!$E$14</f>
        <v>12407.325955800003</v>
      </c>
      <c r="F5" s="7">
        <f>'Konstanta a triple'!$E$14</f>
        <v>13252.846561800008</v>
      </c>
      <c r="G5" s="7">
        <f>'Konstanta b triple'!$E$14</f>
        <v>313.8878223000055</v>
      </c>
      <c r="H5" s="7">
        <f>'Konstanta c triple'!$E$14</f>
        <v>37.374031800001092</v>
      </c>
      <c r="I5" s="7">
        <f>'Peramalan triple'!$E$14</f>
        <v>17374.662600000014</v>
      </c>
      <c r="J5" s="7">
        <f t="shared" si="2"/>
        <v>-56.514814471167973</v>
      </c>
      <c r="K5" s="7">
        <f t="shared" si="3"/>
        <v>56.514814471167973</v>
      </c>
      <c r="L5" s="7" t="str">
        <f>'Rekap 0,1'!J5</f>
        <v>April</v>
      </c>
      <c r="M5" s="7">
        <f>kg!$E$4</f>
        <v>505904.1</v>
      </c>
      <c r="N5" s="7">
        <f>'Single Exponen'!$E$15</f>
        <v>449653.98005999997</v>
      </c>
      <c r="O5" s="7">
        <f>'Double Exponen'!$E$15</f>
        <v>446854.90085399989</v>
      </c>
      <c r="P5" s="7">
        <f>'triple exponen'!$E$15</f>
        <v>452173.35939240002</v>
      </c>
      <c r="Q5" s="7">
        <f>'Konstanta a triple'!$E$15</f>
        <v>460570.59701040026</v>
      </c>
      <c r="R5" s="7">
        <f>'Konstanta b triple'!$E$15</f>
        <v>8902.9830294003368</v>
      </c>
      <c r="S5" s="7">
        <f>'Konstanta c triple'!$E$15</f>
        <v>1490.9763204000383</v>
      </c>
      <c r="T5" s="7">
        <f>'Peramalan triple'!$E$15</f>
        <v>373736.45280000038</v>
      </c>
      <c r="U5" s="7">
        <f t="shared" si="0"/>
        <v>26.125039745675039</v>
      </c>
      <c r="V5" s="7">
        <f t="shared" si="1"/>
        <v>26.125039745675039</v>
      </c>
      <c r="W5" s="7" t="str">
        <f>'Rekap 0,1'!S5</f>
        <v>April</v>
      </c>
      <c r="X5" s="7">
        <f>kg!$E$7</f>
        <v>18855.900000000001</v>
      </c>
      <c r="Y5" s="7">
        <f>'Single Exponen'!$E$18</f>
        <v>13850.747820000001</v>
      </c>
      <c r="Z5" s="7">
        <f>'Double Exponen'!$E$18</f>
        <v>8197.6452179999997</v>
      </c>
      <c r="AA5" s="7">
        <f>'triple exponen'!$E$18</f>
        <v>4501.6345248000007</v>
      </c>
      <c r="AB5" s="7">
        <f>'Konstanta a triple'!$E$18</f>
        <v>21460.942330799997</v>
      </c>
      <c r="AC5" s="7">
        <f>'Konstanta b triple'!$E$18</f>
        <v>4279.998538800005</v>
      </c>
      <c r="AD5" s="7">
        <f>'Konstanta c triple'!$E$18</f>
        <v>359.46586080000037</v>
      </c>
      <c r="AE5" s="7">
        <f>'Peramalan triple'!$E$18</f>
        <v>26450.775600000001</v>
      </c>
      <c r="AF5" s="7">
        <f t="shared" si="4"/>
        <v>-40.278510174534226</v>
      </c>
      <c r="AG5" s="7">
        <f t="shared" si="5"/>
        <v>40.278510174534226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Exponen'!$F$14</f>
        <v>11665.965864</v>
      </c>
      <c r="D6" s="7">
        <f>'Double Exponen'!$F$14</f>
        <v>12239.769481799998</v>
      </c>
      <c r="E6" s="7">
        <f>'triple exponen'!$F$14</f>
        <v>12357.059013600003</v>
      </c>
      <c r="F6" s="7">
        <f>'Konstanta a triple'!$F$14</f>
        <v>10635.648160200013</v>
      </c>
      <c r="G6" s="7">
        <f>'Konstanta b triple'!$F$14</f>
        <v>-679.13838719999387</v>
      </c>
      <c r="H6" s="7">
        <f>'Konstanta c triple'!$F$14</f>
        <v>-83.84952599999886</v>
      </c>
      <c r="I6" s="7">
        <f>'Peramalan triple'!$F$14</f>
        <v>13585.421400000014</v>
      </c>
      <c r="J6" s="7">
        <f t="shared" si="2"/>
        <v>-49.361579038794481</v>
      </c>
      <c r="K6" s="7">
        <f t="shared" si="3"/>
        <v>49.361579038794481</v>
      </c>
      <c r="L6" s="7" t="str">
        <f>'Rekap 0,1'!J6</f>
        <v>Mei</v>
      </c>
      <c r="M6" s="7">
        <f>kg!$F$4</f>
        <v>201079.58</v>
      </c>
      <c r="N6" s="7">
        <f>'Single Exponen'!$F$15</f>
        <v>375081.66004199994</v>
      </c>
      <c r="O6" s="7">
        <f>'Double Exponen'!$F$15</f>
        <v>425322.92861039989</v>
      </c>
      <c r="P6" s="7">
        <f>'triple exponen'!$F$15</f>
        <v>444118.23015780002</v>
      </c>
      <c r="Q6" s="7">
        <f>'Konstanta a triple'!$F$15</f>
        <v>293394.42445260007</v>
      </c>
      <c r="R6" s="7">
        <f>'Konstanta b triple'!$F$15</f>
        <v>-51373.553192099811</v>
      </c>
      <c r="S6" s="7">
        <f>'Konstanta c triple'!$F$15</f>
        <v>-5775.7898609999665</v>
      </c>
      <c r="T6" s="7">
        <f>'Peramalan triple'!$F$15</f>
        <v>470219.06820000062</v>
      </c>
      <c r="U6" s="7">
        <f t="shared" si="0"/>
        <v>-133.84725002906842</v>
      </c>
      <c r="V6" s="7">
        <f t="shared" si="1"/>
        <v>133.84725002906842</v>
      </c>
      <c r="W6" s="7" t="str">
        <f>'Rekap 0,1'!S6</f>
        <v>Mei</v>
      </c>
      <c r="X6" s="7">
        <f>kg!$F$7</f>
        <v>26851.599999999999</v>
      </c>
      <c r="Y6" s="7">
        <f>'Single Exponen'!$F$18</f>
        <v>17751.003474000001</v>
      </c>
      <c r="Z6" s="7">
        <f>'Double Exponen'!$F$18</f>
        <v>11063.652694799999</v>
      </c>
      <c r="AA6" s="7">
        <f>'triple exponen'!$F$18</f>
        <v>6470.239975800001</v>
      </c>
      <c r="AB6" s="7">
        <f>'Konstanta a triple'!$F$18</f>
        <v>26532.292313400008</v>
      </c>
      <c r="AC6" s="7">
        <f>'Konstanta b triple'!$F$18</f>
        <v>4853.1119625000047</v>
      </c>
      <c r="AD6" s="7">
        <f>'Konstanta c triple'!$F$18</f>
        <v>384.60086820000072</v>
      </c>
      <c r="AE6" s="7">
        <f>'Peramalan triple'!$F$18</f>
        <v>25920.673800000004</v>
      </c>
      <c r="AF6" s="7">
        <f t="shared" si="4"/>
        <v>3.466930089827029</v>
      </c>
      <c r="AG6" s="7">
        <f t="shared" si="5"/>
        <v>3.466930089827029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Exponen'!$G$14</f>
        <v>10621.784104799999</v>
      </c>
      <c r="D7" s="7">
        <f>'Double Exponen'!$G$14</f>
        <v>11754.373868699997</v>
      </c>
      <c r="E7" s="7">
        <f>'triple exponen'!$G$14</f>
        <v>12176.253470130003</v>
      </c>
      <c r="F7" s="7">
        <f>'Konstanta a triple'!$G$14</f>
        <v>8778.4841784300152</v>
      </c>
      <c r="G7" s="7">
        <f>'Konstanta b triple'!$G$14</f>
        <v>-1159.8450529949873</v>
      </c>
      <c r="H7" s="7">
        <f>'Konstanta c triple'!$G$14</f>
        <v>-130.53860126999848</v>
      </c>
      <c r="I7" s="7">
        <f>'Peramalan triple'!$G$14</f>
        <v>9914.5850100000207</v>
      </c>
      <c r="J7" s="7">
        <f t="shared" si="2"/>
        <v>-21.125827208577522</v>
      </c>
      <c r="K7" s="7">
        <f t="shared" si="3"/>
        <v>21.125827208577522</v>
      </c>
      <c r="L7" s="7" t="str">
        <f>'Rekap 0,1'!J7</f>
        <v>Juni</v>
      </c>
      <c r="M7" s="7">
        <f>kg!$G$4</f>
        <v>378271.8</v>
      </c>
      <c r="N7" s="7">
        <f>'Single Exponen'!$G$15</f>
        <v>376038.70202939992</v>
      </c>
      <c r="O7" s="7">
        <f>'Double Exponen'!$G$15</f>
        <v>410537.66063609987</v>
      </c>
      <c r="P7" s="7">
        <f>'triple exponen'!$G$15</f>
        <v>434044.05930129002</v>
      </c>
      <c r="Q7" s="7">
        <f>'Konstanta a triple'!$G$15</f>
        <v>330547.18348119018</v>
      </c>
      <c r="R7" s="7">
        <f>'Konstanta b triple'!$G$15</f>
        <v>-25216.983020834799</v>
      </c>
      <c r="S7" s="7">
        <f>'Konstanta c triple'!$G$15</f>
        <v>-2019.0416219099627</v>
      </c>
      <c r="T7" s="7">
        <f>'Peramalan triple'!$G$15</f>
        <v>239132.97633000027</v>
      </c>
      <c r="U7" s="7">
        <f t="shared" si="0"/>
        <v>36.782764052197315</v>
      </c>
      <c r="V7" s="7">
        <f t="shared" si="1"/>
        <v>36.782764052197315</v>
      </c>
      <c r="W7" s="7" t="str">
        <f>'Rekap 0,1'!S7</f>
        <v>Juni</v>
      </c>
      <c r="X7" s="7">
        <f>kg!$G$7</f>
        <v>17468.29</v>
      </c>
      <c r="Y7" s="7">
        <f>'Single Exponen'!$G$18</f>
        <v>17666.189431800001</v>
      </c>
      <c r="Z7" s="7">
        <f>'Double Exponen'!$G$18</f>
        <v>13044.413715899998</v>
      </c>
      <c r="AA7" s="7">
        <f>'triple exponen'!$G$18</f>
        <v>8442.4920978300015</v>
      </c>
      <c r="AB7" s="7">
        <f>'Konstanta a triple'!$G$18</f>
        <v>22307.819245530009</v>
      </c>
      <c r="AC7" s="7">
        <f>'Konstanta b triple'!$G$18</f>
        <v>1999.6021547550106</v>
      </c>
      <c r="AD7" s="7">
        <f>'Konstanta c triple'!$G$18</f>
        <v>3.6466710300011278</v>
      </c>
      <c r="AE7" s="7">
        <f>'Peramalan triple'!$G$18</f>
        <v>31577.704710000016</v>
      </c>
      <c r="AF7" s="7">
        <f t="shared" si="4"/>
        <v>-80.771585026353549</v>
      </c>
      <c r="AG7" s="7">
        <f t="shared" si="5"/>
        <v>80.771585026353549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Exponen'!$H$14</f>
        <v>12914.868873359999</v>
      </c>
      <c r="D8" s="7">
        <f>'Double Exponen'!$H$14</f>
        <v>12102.522370097997</v>
      </c>
      <c r="E8" s="7">
        <f>'triple exponen'!$H$14</f>
        <v>12154.134140120401</v>
      </c>
      <c r="F8" s="7">
        <f>'Konstanta a triple'!$H$14</f>
        <v>14591.17364990641</v>
      </c>
      <c r="G8" s="7">
        <f>'Konstanta b triple'!$H$14</f>
        <v>1168.0272709434093</v>
      </c>
      <c r="H8" s="7">
        <f>'Konstanta c triple'!$H$14</f>
        <v>158.68621346040121</v>
      </c>
      <c r="I8" s="7">
        <f>'Peramalan triple'!$H$14</f>
        <v>7553.3698248000283</v>
      </c>
      <c r="J8" s="7">
        <f t="shared" si="2"/>
        <v>58.646567691920083</v>
      </c>
      <c r="K8" s="7">
        <f t="shared" si="3"/>
        <v>58.646567691920083</v>
      </c>
      <c r="L8" s="7" t="str">
        <f>'Rekap 0,1'!J8</f>
        <v>Juli</v>
      </c>
      <c r="M8" s="7">
        <f>kg!$H$4</f>
        <v>463478.68</v>
      </c>
      <c r="N8" s="7">
        <f>'Single Exponen'!$H$15</f>
        <v>402270.69542057998</v>
      </c>
      <c r="O8" s="7">
        <f>'Double Exponen'!$H$15</f>
        <v>408057.57107144385</v>
      </c>
      <c r="P8" s="7">
        <f>'triple exponen'!$H$15</f>
        <v>426248.11283233622</v>
      </c>
      <c r="Q8" s="7">
        <f>'Konstanta a triple'!$H$15</f>
        <v>408887.48587974464</v>
      </c>
      <c r="R8" s="7">
        <f>'Konstanta b triple'!$H$15</f>
        <v>9290.7364377181275</v>
      </c>
      <c r="S8" s="7">
        <f>'Konstanta c triple'!$H$15</f>
        <v>2278.2243875562576</v>
      </c>
      <c r="T8" s="7">
        <f>'Peramalan triple'!$H$15</f>
        <v>304320.67964940041</v>
      </c>
      <c r="U8" s="7">
        <f t="shared" si="0"/>
        <v>34.339875212943902</v>
      </c>
      <c r="V8" s="7">
        <f t="shared" si="1"/>
        <v>34.339875212943902</v>
      </c>
      <c r="W8" s="7" t="str">
        <f>'Rekap 0,1'!S8</f>
        <v>Juli</v>
      </c>
      <c r="X8" s="7">
        <f>kg!$H$7</f>
        <v>53358.239999999998</v>
      </c>
      <c r="Y8" s="7">
        <f>'Single Exponen'!$H$18</f>
        <v>28373.804602260003</v>
      </c>
      <c r="Z8" s="7">
        <f>'Double Exponen'!$H$18</f>
        <v>17643.230981807996</v>
      </c>
      <c r="AA8" s="7">
        <f>'triple exponen'!$H$18</f>
        <v>11202.713763023401</v>
      </c>
      <c r="AB8" s="7">
        <f>'Konstanta a triple'!$H$18</f>
        <v>43394.434624379421</v>
      </c>
      <c r="AC8" s="7">
        <f>'Konstanta b triple'!$H$18</f>
        <v>8669.993238918918</v>
      </c>
      <c r="AD8" s="7">
        <f>'Konstanta c triple'!$H$18</f>
        <v>787.96954316340236</v>
      </c>
      <c r="AE8" s="7">
        <f>'Peramalan triple'!$H$18</f>
        <v>24309.244735800021</v>
      </c>
      <c r="AF8" s="7">
        <f t="shared" si="4"/>
        <v>54.441441966976377</v>
      </c>
      <c r="AG8" s="7">
        <f t="shared" si="5"/>
        <v>54.441441966976377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Exponen'!$I$14</f>
        <v>12353.812211351998</v>
      </c>
      <c r="D9" s="7">
        <f>'Double Exponen'!$I$14</f>
        <v>12177.909322474196</v>
      </c>
      <c r="E9" s="7">
        <f>'triple exponen'!$I$14</f>
        <v>12161.26669482654</v>
      </c>
      <c r="F9" s="7">
        <f>'Konstanta a triple'!$I$14</f>
        <v>12688.975361459947</v>
      </c>
      <c r="G9" s="7">
        <f>'Konstanta b triple'!$I$14</f>
        <v>226.52169007419673</v>
      </c>
      <c r="H9" s="7">
        <f>'Konstanta c triple'!$I$14</f>
        <v>29.251884715741301</v>
      </c>
      <c r="I9" s="7">
        <f>'Peramalan triple'!$I$14</f>
        <v>15838.544027580021</v>
      </c>
      <c r="J9" s="7">
        <f t="shared" si="2"/>
        <v>-43.404281768055029</v>
      </c>
      <c r="K9" s="7">
        <f t="shared" si="3"/>
        <v>43.404281768055029</v>
      </c>
      <c r="L9" s="7" t="str">
        <f>'Rekap 0,1'!J9</f>
        <v>Agustus</v>
      </c>
      <c r="M9" s="7">
        <f>kg!$I$4</f>
        <v>511860.86</v>
      </c>
      <c r="N9" s="7">
        <f>'Single Exponen'!$I$15</f>
        <v>435147.744794406</v>
      </c>
      <c r="O9" s="7">
        <f>'Double Exponen'!$I$15</f>
        <v>416184.62318833242</v>
      </c>
      <c r="P9" s="7">
        <f>'triple exponen'!$I$15</f>
        <v>423229.06593913515</v>
      </c>
      <c r="Q9" s="7">
        <f>'Konstanta a triple'!$I$15</f>
        <v>480118.43075735588</v>
      </c>
      <c r="R9" s="7">
        <f>'Konstanta b triple'!$I$15</f>
        <v>32807.699924944856</v>
      </c>
      <c r="S9" s="7">
        <f>'Konstanta c triple'!$I$15</f>
        <v>4776.899575752791</v>
      </c>
      <c r="T9" s="7">
        <f>'Peramalan triple'!$I$15</f>
        <v>419317.33451124094</v>
      </c>
      <c r="U9" s="7">
        <f t="shared" si="0"/>
        <v>18.079820654534721</v>
      </c>
      <c r="V9" s="7">
        <f t="shared" si="1"/>
        <v>18.079820654534721</v>
      </c>
      <c r="W9" s="7" t="str">
        <f>'Rekap 0,1'!S9</f>
        <v>Agustus</v>
      </c>
      <c r="X9" s="7">
        <f>kg!$I$7</f>
        <v>31973.26</v>
      </c>
      <c r="Y9" s="7">
        <f>'Single Exponen'!$I$18</f>
        <v>29453.641221582002</v>
      </c>
      <c r="Z9" s="7">
        <f>'Double Exponen'!$I$18</f>
        <v>21186.354053740197</v>
      </c>
      <c r="AA9" s="7">
        <f>'triple exponen'!$I$18</f>
        <v>14197.805850238441</v>
      </c>
      <c r="AB9" s="7">
        <f>'Konstanta a triple'!$I$18</f>
        <v>38999.667353763856</v>
      </c>
      <c r="AC9" s="7">
        <f>'Konstanta b triple'!$I$18</f>
        <v>4756.6202523773563</v>
      </c>
      <c r="AD9" s="7">
        <f>'Konstanta c triple'!$I$18</f>
        <v>234.87042202164173</v>
      </c>
      <c r="AE9" s="7">
        <f>'Peramalan triple'!$I$18</f>
        <v>52458.412634880042</v>
      </c>
      <c r="AF9" s="7">
        <f t="shared" si="4"/>
        <v>-64.069640177073111</v>
      </c>
      <c r="AG9" s="7">
        <f t="shared" si="5"/>
        <v>64.069640177073111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Exponen'!$J$14</f>
        <v>11914.533547946397</v>
      </c>
      <c r="D10" s="7">
        <f>'Double Exponen'!$J$14</f>
        <v>12098.896590115855</v>
      </c>
      <c r="E10" s="7">
        <f>'triple exponen'!$J$14</f>
        <v>12142.555663413335</v>
      </c>
      <c r="F10" s="7">
        <f>'Konstanta a triple'!$J$14</f>
        <v>11589.466536904958</v>
      </c>
      <c r="G10" s="7">
        <f>'Konstanta b triple'!$J$14</f>
        <v>-212.53792730827516</v>
      </c>
      <c r="H10" s="7">
        <f>'Konstanta c triple'!$J$14</f>
        <v>-25.84358611934287</v>
      </c>
      <c r="I10" s="7">
        <f>'Peramalan triple'!$J$14</f>
        <v>12930.122993892013</v>
      </c>
      <c r="J10" s="7">
        <f t="shared" si="2"/>
        <v>-18.738818352383838</v>
      </c>
      <c r="K10" s="7">
        <f t="shared" si="3"/>
        <v>18.738818352383838</v>
      </c>
      <c r="L10" s="7" t="str">
        <f>'Rekap 0,1'!J10</f>
        <v>September</v>
      </c>
      <c r="M10" s="7">
        <f>kg!$J$4</f>
        <v>513170.2</v>
      </c>
      <c r="N10" s="7">
        <f>'Single Exponen'!$J$15</f>
        <v>458554.48135608423</v>
      </c>
      <c r="O10" s="7">
        <f>'Double Exponen'!$J$15</f>
        <v>428895.58063865791</v>
      </c>
      <c r="P10" s="7">
        <f>'triple exponen'!$J$15</f>
        <v>424929.02034899202</v>
      </c>
      <c r="Q10" s="7">
        <f>'Konstanta a triple'!$J$15</f>
        <v>513905.72250127076</v>
      </c>
      <c r="R10" s="7">
        <f>'Konstanta b triple'!$J$15</f>
        <v>37092.464182792253</v>
      </c>
      <c r="S10" s="7">
        <f>'Konstanta c triple'!$J$15</f>
        <v>4719.0013030580403</v>
      </c>
      <c r="T10" s="7">
        <f>'Peramalan triple'!$J$15</f>
        <v>515314.58047017711</v>
      </c>
      <c r="U10" s="7">
        <f t="shared" si="0"/>
        <v>-0.41786925082109216</v>
      </c>
      <c r="V10" s="7">
        <f t="shared" si="1"/>
        <v>0.41786925082109216</v>
      </c>
      <c r="W10" s="7" t="str">
        <f>'Rekap 0,1'!S10</f>
        <v>September</v>
      </c>
      <c r="X10" s="7">
        <f>kg!$J$7</f>
        <v>28522.799999999999</v>
      </c>
      <c r="Y10" s="7">
        <f>'Single Exponen'!$J$18</f>
        <v>29174.388855107401</v>
      </c>
      <c r="Z10" s="7">
        <f>'Double Exponen'!$J$18</f>
        <v>23582.764494150357</v>
      </c>
      <c r="AA10" s="7">
        <f>'triple exponen'!$J$18</f>
        <v>17013.293443412018</v>
      </c>
      <c r="AB10" s="7">
        <f>'Konstanta a triple'!$J$18</f>
        <v>33788.166526283145</v>
      </c>
      <c r="AC10" s="7">
        <f>'Konstanta b triple'!$J$18</f>
        <v>1468.4538878626113</v>
      </c>
      <c r="AD10" s="7">
        <f>'Konstanta c triple'!$J$18</f>
        <v>-179.6044940414622</v>
      </c>
      <c r="AE10" s="7">
        <f>'Peramalan triple'!$J$18</f>
        <v>43873.722817152033</v>
      </c>
      <c r="AF10" s="7">
        <f t="shared" si="4"/>
        <v>-53.819831212756228</v>
      </c>
      <c r="AG10" s="7">
        <f t="shared" si="5"/>
        <v>53.819831212756228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Exponen'!$K$14</f>
        <v>10862.075483562478</v>
      </c>
      <c r="D11" s="7">
        <f>'Double Exponen'!$K$14</f>
        <v>11727.850258149841</v>
      </c>
      <c r="E11" s="7">
        <f>'triple exponen'!$K$14</f>
        <v>12018.14404183429</v>
      </c>
      <c r="F11" s="7">
        <f>'Konstanta a triple'!$K$14</f>
        <v>9420.8197180721982</v>
      </c>
      <c r="G11" s="7">
        <f>'Konstanta b triple'!$K$14</f>
        <v>-917.16604782285924</v>
      </c>
      <c r="H11" s="7">
        <f>'Konstanta c triple'!$K$14</f>
        <v>-105.70059016584162</v>
      </c>
      <c r="I11" s="7">
        <f>'Peramalan triple'!$K$14</f>
        <v>11364.006816537012</v>
      </c>
      <c r="J11" s="7">
        <f t="shared" si="2"/>
        <v>-35.183763879845593</v>
      </c>
      <c r="K11" s="7">
        <f t="shared" si="3"/>
        <v>35.183763879845593</v>
      </c>
      <c r="L11" s="7" t="str">
        <f>'Rekap 0,1'!J11</f>
        <v>Oktober</v>
      </c>
      <c r="M11" s="7">
        <f>kg!$K$4</f>
        <v>525723.46</v>
      </c>
      <c r="N11" s="7">
        <f>'Single Exponen'!$K$15</f>
        <v>478705.17494925892</v>
      </c>
      <c r="O11" s="7">
        <f>'Double Exponen'!$K$15</f>
        <v>443838.45893183816</v>
      </c>
      <c r="P11" s="7">
        <f>'triple exponen'!$K$15</f>
        <v>430601.85192384588</v>
      </c>
      <c r="Q11" s="7">
        <f>'Konstanta a triple'!$K$15</f>
        <v>535201.99997610808</v>
      </c>
      <c r="R11" s="7">
        <f>'Konstanta b triple'!$K$15</f>
        <v>35469.410312331842</v>
      </c>
      <c r="S11" s="7">
        <f>'Konstanta c triple'!$K$15</f>
        <v>3972.8771649970668</v>
      </c>
      <c r="T11" s="7">
        <f>'Peramalan triple'!$K$15</f>
        <v>553357.68733559211</v>
      </c>
      <c r="U11" s="7">
        <f t="shared" si="0"/>
        <v>-5.25641890426426</v>
      </c>
      <c r="V11" s="7">
        <f t="shared" si="1"/>
        <v>5.25641890426426</v>
      </c>
      <c r="W11" s="7" t="str">
        <f>'Rekap 0,1'!S11</f>
        <v>Oktober</v>
      </c>
      <c r="X11" s="7">
        <f>kg!$K$7</f>
        <v>51078.26</v>
      </c>
      <c r="Y11" s="7">
        <f>'Single Exponen'!$K$18</f>
        <v>35745.550198575183</v>
      </c>
      <c r="Z11" s="7">
        <f>'Double Exponen'!$K$18</f>
        <v>27231.600205477804</v>
      </c>
      <c r="AA11" s="7">
        <f>'triple exponen'!$K$18</f>
        <v>20078.785472031755</v>
      </c>
      <c r="AB11" s="7">
        <f>'Konstanta a triple'!$K$18</f>
        <v>45620.635451323891</v>
      </c>
      <c r="AC11" s="7">
        <f>'Konstanta b triple'!$K$18</f>
        <v>4940.5252944659578</v>
      </c>
      <c r="AD11" s="7">
        <f>'Konstanta c triple'!$K$18</f>
        <v>250.00443544616294</v>
      </c>
      <c r="AE11" s="7">
        <f>'Peramalan triple'!$K$18</f>
        <v>35166.818167125028</v>
      </c>
      <c r="AF11" s="7">
        <f t="shared" si="4"/>
        <v>31.151103880349435</v>
      </c>
      <c r="AG11" s="7">
        <f t="shared" si="5"/>
        <v>31.151103880349435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Exponen'!$L$14</f>
        <v>13048.437838493734</v>
      </c>
      <c r="D12" s="7">
        <f>'Double Exponen'!$L$14</f>
        <v>12124.026532253009</v>
      </c>
      <c r="E12" s="7">
        <f>'triple exponen'!$L$14</f>
        <v>12049.908788959907</v>
      </c>
      <c r="F12" s="7">
        <f>'Konstanta a triple'!$L$14</f>
        <v>14823.142707682087</v>
      </c>
      <c r="G12" s="7">
        <f>'Konstanta b triple'!$L$14</f>
        <v>1203.087512410606</v>
      </c>
      <c r="H12" s="7">
        <f>'Konstanta c triple'!$L$14</f>
        <v>156.17636870466552</v>
      </c>
      <c r="I12" s="7">
        <f>'Peramalan triple'!$L$14</f>
        <v>8450.8033751664188</v>
      </c>
      <c r="J12" s="7">
        <f t="shared" si="2"/>
        <v>53.438971594046158</v>
      </c>
      <c r="K12" s="7">
        <f t="shared" si="3"/>
        <v>53.438971594046158</v>
      </c>
      <c r="L12" s="7" t="str">
        <f>'Rekap 0,1'!J12</f>
        <v>November</v>
      </c>
      <c r="M12" s="7">
        <f>kg!$L$4</f>
        <v>480711.96</v>
      </c>
      <c r="N12" s="7">
        <f>'Single Exponen'!$L$15</f>
        <v>479307.21046448126</v>
      </c>
      <c r="O12" s="7">
        <f>'Double Exponen'!$L$15</f>
        <v>454479.08439163107</v>
      </c>
      <c r="P12" s="7">
        <f>'triple exponen'!$L$15</f>
        <v>437765.02166418149</v>
      </c>
      <c r="Q12" s="7">
        <f>'Konstanta a triple'!$L$15</f>
        <v>512249.39988273219</v>
      </c>
      <c r="R12" s="7">
        <f>'Konstanta b triple'!$L$15</f>
        <v>18340.705981448635</v>
      </c>
      <c r="S12" s="7">
        <f>'Konstanta c triple'!$L$15</f>
        <v>1490.338165481746</v>
      </c>
      <c r="T12" s="7">
        <f>'Peramalan triple'!$L$15</f>
        <v>572657.84887093853</v>
      </c>
      <c r="U12" s="7">
        <f t="shared" si="0"/>
        <v>-19.127023357384015</v>
      </c>
      <c r="V12" s="7">
        <f t="shared" si="1"/>
        <v>19.127023357384015</v>
      </c>
      <c r="W12" s="7" t="str">
        <f>'Rekap 0,1'!S12</f>
        <v>November</v>
      </c>
      <c r="X12" s="7">
        <f>kg!$L$7</f>
        <v>50149.88</v>
      </c>
      <c r="Y12" s="7">
        <f>'Single Exponen'!$L$18</f>
        <v>40066.849139002632</v>
      </c>
      <c r="Z12" s="7">
        <f>'Double Exponen'!$L$18</f>
        <v>31082.174885535249</v>
      </c>
      <c r="AA12" s="7">
        <f>'triple exponen'!$L$18</f>
        <v>23379.802296082806</v>
      </c>
      <c r="AB12" s="7">
        <f>'Konstanta a triple'!$L$18</f>
        <v>50333.825056484959</v>
      </c>
      <c r="AC12" s="7">
        <f>'Konstanta b triple'!$L$18</f>
        <v>5067.452789785917</v>
      </c>
      <c r="AD12" s="7">
        <f>'Konstanta c triple'!$L$18</f>
        <v>235.52479543131551</v>
      </c>
      <c r="AE12" s="7">
        <f>'Peramalan triple'!$L$18</f>
        <v>50686.162963512928</v>
      </c>
      <c r="AF12" s="7">
        <f t="shared" si="4"/>
        <v>-1.0693604122540894</v>
      </c>
      <c r="AG12" s="7">
        <f t="shared" si="5"/>
        <v>1.0693604122540894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Exponen'!$M$14</f>
        <v>12705.523486945613</v>
      </c>
      <c r="D13" s="7">
        <f>'Double Exponen'!$M$14</f>
        <v>12298.475618660788</v>
      </c>
      <c r="E13" s="7">
        <f>'triple exponen'!$M$14</f>
        <v>12124.478837870172</v>
      </c>
      <c r="F13" s="7">
        <f>'Konstanta a triple'!$M$14</f>
        <v>13345.622442724643</v>
      </c>
      <c r="G13" s="7">
        <f>'Konstanta b triple'!$M$14</f>
        <v>395.60981229514795</v>
      </c>
      <c r="H13" s="7">
        <f>'Konstanta c triple'!$M$14</f>
        <v>42.80530178465051</v>
      </c>
      <c r="I13" s="7">
        <f>'Peramalan triple'!$M$14</f>
        <v>16104.318404445026</v>
      </c>
      <c r="J13" s="7">
        <f t="shared" si="2"/>
        <v>-35.269137797628026</v>
      </c>
      <c r="K13" s="7">
        <f t="shared" si="3"/>
        <v>35.269137797628026</v>
      </c>
      <c r="L13" s="7" t="str">
        <f>'Rekap 0,1'!J13</f>
        <v>Desember</v>
      </c>
      <c r="M13" s="7">
        <f>kg!$M$4</f>
        <v>428532.64</v>
      </c>
      <c r="N13" s="7">
        <f>'Single Exponen'!$M$15</f>
        <v>464074.83932513685</v>
      </c>
      <c r="O13" s="7">
        <f>'Double Exponen'!$M$15</f>
        <v>457357.81087168277</v>
      </c>
      <c r="P13" s="7">
        <f>'triple exponen'!$M$15</f>
        <v>443642.85842643189</v>
      </c>
      <c r="Q13" s="7">
        <f>'Konstanta a triple'!$M$15</f>
        <v>463793.94378679409</v>
      </c>
      <c r="R13" s="7">
        <f>'Konstanta b triple'!$M$15</f>
        <v>-3762.1605733880888</v>
      </c>
      <c r="S13" s="7">
        <f>'Konstanta c triple'!$M$15</f>
        <v>-1285.3329780851254</v>
      </c>
      <c r="T13" s="7">
        <f>'Peramalan triple'!$M$15</f>
        <v>531335.27494692174</v>
      </c>
      <c r="U13" s="7">
        <f t="shared" si="0"/>
        <v>-23.989452693013472</v>
      </c>
      <c r="V13" s="7">
        <f t="shared" si="1"/>
        <v>23.989452693013472</v>
      </c>
      <c r="W13" s="7" t="str">
        <f>'Rekap 0,1'!S13</f>
        <v>Desember</v>
      </c>
      <c r="X13" s="7">
        <f>kg!$M$7</f>
        <v>42897.42</v>
      </c>
      <c r="Y13" s="7">
        <f>'Single Exponen'!$M$18</f>
        <v>40916.020397301843</v>
      </c>
      <c r="Z13" s="7">
        <f>'Double Exponen'!$M$18</f>
        <v>34032.328539065224</v>
      </c>
      <c r="AA13" s="7">
        <f>'triple exponen'!$M$18</f>
        <v>26575.560168977536</v>
      </c>
      <c r="AB13" s="7">
        <f>'Konstanta a triple'!$M$18</f>
        <v>47226.635743687395</v>
      </c>
      <c r="AC13" s="7">
        <f>'Konstanta b triple'!$M$18</f>
        <v>2406.3157392223366</v>
      </c>
      <c r="AD13" s="7">
        <f>'Konstanta c triple'!$M$18</f>
        <v>-105.25895115631863</v>
      </c>
      <c r="AE13" s="7">
        <f>'Peramalan triple'!$M$18</f>
        <v>55519.040243986528</v>
      </c>
      <c r="AF13" s="7">
        <f t="shared" si="4"/>
        <v>-29.422795692576685</v>
      </c>
      <c r="AG13" s="7">
        <f t="shared" si="5"/>
        <v>29.422795692576685</v>
      </c>
    </row>
    <row r="14" spans="1:33" x14ac:dyDescent="0.3">
      <c r="J14" s="7">
        <f>(SUM(J3:J13)/12)</f>
        <v>-19.734583990291771</v>
      </c>
      <c r="K14" s="7">
        <f>(SUM(K3:K13)/12)</f>
        <v>50.667301504712434</v>
      </c>
      <c r="U14" s="7">
        <f>(SUM(U3:U13)/12)</f>
        <v>-7.2296044728672326</v>
      </c>
      <c r="V14" s="7">
        <f>(SUM(V3:V13)/12)</f>
        <v>26.450854417092387</v>
      </c>
      <c r="AF14" s="7">
        <f>(SUM(AF3:AF13)/12)</f>
        <v>-8.547114963384816</v>
      </c>
      <c r="AG14" s="7">
        <f>(SUM(AG3:AG13)/12)</f>
        <v>39.381227299770877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Exponen'!$B$16</f>
        <v>23458.3</v>
      </c>
      <c r="O16" s="7">
        <f>'Double Exponen'!$B$16</f>
        <v>23458.3</v>
      </c>
      <c r="P16" s="7">
        <f>'triple exponen'!$B$16</f>
        <v>23458.3</v>
      </c>
      <c r="Q16" s="7">
        <f>'Konstanta a triple'!$B$16</f>
        <v>23458.3</v>
      </c>
      <c r="R16" s="7">
        <f>'Konstanta b triple'!$B$16</f>
        <v>0</v>
      </c>
      <c r="S16" s="7">
        <f>'Konstanta c triple'!$B$16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Exponen'!$C$16</f>
        <v>29085.79</v>
      </c>
      <c r="O17" s="7">
        <f>'Double Exponen'!$C$16</f>
        <v>25146.546999999999</v>
      </c>
      <c r="P17" s="7">
        <f>'triple exponen'!$C$16</f>
        <v>23964.774100000002</v>
      </c>
      <c r="Q17" s="7">
        <f>'Konstanta a triple'!$C$16</f>
        <v>35782.503099999994</v>
      </c>
      <c r="R17" s="7">
        <f>'Konstanta b triple'!$C$16</f>
        <v>4305.0298500000063</v>
      </c>
      <c r="S17" s="7">
        <f>'Konstanta c triple'!$C$16</f>
        <v>506.4741000000011</v>
      </c>
      <c r="T17" s="7">
        <f>'Peramalan triple'!$C$16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Exponen'!$D$16</f>
        <v>28985.623</v>
      </c>
      <c r="O18" s="7">
        <f>'Double Exponen'!$D$16</f>
        <v>26298.269799999995</v>
      </c>
      <c r="P18" s="7">
        <f>'triple exponen'!$D$16</f>
        <v>24664.822810000005</v>
      </c>
      <c r="Q18" s="7">
        <f>'Konstanta a triple'!$D$16</f>
        <v>32726.882410000027</v>
      </c>
      <c r="R18" s="7">
        <f>'Konstanta b triple'!$D$16</f>
        <v>2151.8582850000221</v>
      </c>
      <c r="S18" s="7">
        <f>'Konstanta c triple'!$D$16</f>
        <v>193.57461000000288</v>
      </c>
      <c r="T18" s="7">
        <f>'Peramalan triple'!$D$16</f>
        <v>40340.770000000004</v>
      </c>
      <c r="U18" s="7">
        <f t="shared" si="6"/>
        <v>-40.306449312914978</v>
      </c>
      <c r="V18" s="7">
        <f t="shared" si="7"/>
        <v>40.306449312914978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Exponen'!$E$16</f>
        <v>32103.006099999999</v>
      </c>
      <c r="O19" s="7">
        <f>'Double Exponen'!$E$16</f>
        <v>28039.690689999992</v>
      </c>
      <c r="P19" s="7">
        <f>'triple exponen'!$E$16</f>
        <v>25677.283174000004</v>
      </c>
      <c r="Q19" s="7">
        <f>'Konstanta a triple'!$E$16</f>
        <v>37867.22940400002</v>
      </c>
      <c r="R19" s="7">
        <f>'Konstanta b triple'!$E$16</f>
        <v>3355.5477690000184</v>
      </c>
      <c r="S19" s="7">
        <f>'Konstanta c triple'!$E$16</f>
        <v>312.41165400000335</v>
      </c>
      <c r="T19" s="7">
        <f>'Peramalan triple'!$E$16</f>
        <v>34975.528000000049</v>
      </c>
      <c r="U19" s="7">
        <f t="shared" si="6"/>
        <v>11.177548257988699</v>
      </c>
      <c r="V19" s="7">
        <f t="shared" si="7"/>
        <v>11.177548257988699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Exponen'!$F$16</f>
        <v>29630.584269999996</v>
      </c>
      <c r="O20" s="7">
        <f>'Double Exponen'!$F$16</f>
        <v>28516.958763999988</v>
      </c>
      <c r="P20" s="7">
        <f>'triple exponen'!$F$16</f>
        <v>26529.185851000002</v>
      </c>
      <c r="Q20" s="7">
        <f>'Konstanta a triple'!$F$16</f>
        <v>29870.062369000021</v>
      </c>
      <c r="R20" s="7">
        <f>'Konstanta b triple'!$F$16</f>
        <v>-352.27997549996763</v>
      </c>
      <c r="S20" s="7">
        <f>'Konstanta c triple'!$F$16</f>
        <v>-160.55768699999606</v>
      </c>
      <c r="T20" s="7">
        <f>'Peramalan triple'!$F$16</f>
        <v>41378.983000000044</v>
      </c>
      <c r="U20" s="7">
        <f t="shared" si="6"/>
        <v>-73.412440909243486</v>
      </c>
      <c r="V20" s="7">
        <f t="shared" si="7"/>
        <v>73.412440909243486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Exponen'!$G$16</f>
        <v>37906.478988999996</v>
      </c>
      <c r="O21" s="7">
        <f>'Double Exponen'!$G$16</f>
        <v>31333.814831499985</v>
      </c>
      <c r="P21" s="7">
        <f>'triple exponen'!$G$16</f>
        <v>27970.574545149997</v>
      </c>
      <c r="Q21" s="7">
        <f>'Konstanta a triple'!$G$16</f>
        <v>47688.567017650028</v>
      </c>
      <c r="R21" s="7">
        <f>'Konstanta b triple'!$G$16</f>
        <v>5862.5338227750217</v>
      </c>
      <c r="S21" s="7">
        <f>'Konstanta c triple'!$G$16</f>
        <v>589.48601715000405</v>
      </c>
      <c r="T21" s="7">
        <f>'Peramalan triple'!$G$16</f>
        <v>29437.503550000056</v>
      </c>
      <c r="U21" s="7">
        <f t="shared" si="6"/>
        <v>48.551033785472377</v>
      </c>
      <c r="V21" s="7">
        <f t="shared" si="7"/>
        <v>48.551033785472377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Exponen'!$H$16</f>
        <v>51655.545292299998</v>
      </c>
      <c r="O22" s="7">
        <f>'Double Exponen'!$H$16</f>
        <v>37430.333969739986</v>
      </c>
      <c r="P22" s="7">
        <f>'triple exponen'!$H$16</f>
        <v>30808.502372527</v>
      </c>
      <c r="Q22" s="7">
        <f>'Konstanta a triple'!$H$16</f>
        <v>73484.136340207042</v>
      </c>
      <c r="R22" s="7">
        <f>'Konstanta b triple'!$H$16</f>
        <v>13311.971326579534</v>
      </c>
      <c r="S22" s="7">
        <f>'Konstanta c triple'!$H$16</f>
        <v>1396.5391332270049</v>
      </c>
      <c r="T22" s="7">
        <f>'Peramalan triple'!$H$16</f>
        <v>53845.843849000048</v>
      </c>
      <c r="U22" s="7">
        <f t="shared" si="6"/>
        <v>35.696243285202243</v>
      </c>
      <c r="V22" s="7">
        <f t="shared" si="7"/>
        <v>35.696243285202243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Exponen'!$I$16</f>
        <v>52374.841704609993</v>
      </c>
      <c r="O23" s="7">
        <f>'Double Exponen'!$I$16</f>
        <v>41913.686290200989</v>
      </c>
      <c r="P23" s="7">
        <f>'triple exponen'!$I$16</f>
        <v>34140.057547829201</v>
      </c>
      <c r="Q23" s="7">
        <f>'Konstanta a triple'!$I$16</f>
        <v>65523.523791056228</v>
      </c>
      <c r="R23" s="7">
        <f>'Konstanta b triple'!$I$16</f>
        <v>7033.7602847412172</v>
      </c>
      <c r="S23" s="7">
        <f>'Konstanta c triple'!$I$16</f>
        <v>493.62734792520303</v>
      </c>
      <c r="T23" s="7">
        <f>'Peramalan triple'!$I$16</f>
        <v>87494.377233400068</v>
      </c>
      <c r="U23" s="7">
        <f t="shared" si="6"/>
        <v>-61.867155382845183</v>
      </c>
      <c r="V23" s="7">
        <f t="shared" si="7"/>
        <v>61.867155382845183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Exponen'!$J$16</f>
        <v>40041.739193226989</v>
      </c>
      <c r="O24" s="7">
        <f>'Double Exponen'!$J$16</f>
        <v>41352.102161108785</v>
      </c>
      <c r="P24" s="7">
        <f>'triple exponen'!$J$16</f>
        <v>36303.670931813082</v>
      </c>
      <c r="Q24" s="7">
        <f>'Konstanta a triple'!$J$16</f>
        <v>32372.582028167679</v>
      </c>
      <c r="R24" s="7">
        <f>'Konstanta b triple'!$J$16</f>
        <v>-6595.9500509035006</v>
      </c>
      <c r="S24" s="7">
        <f>'Konstanta c triple'!$J$16</f>
        <v>-1167.9417913183163</v>
      </c>
      <c r="T24" s="7">
        <f>'Peramalan triple'!$J$16</f>
        <v>72804.097749760054</v>
      </c>
      <c r="U24" s="7">
        <f t="shared" si="6"/>
        <v>-546.31450796537843</v>
      </c>
      <c r="V24" s="7">
        <f t="shared" si="7"/>
        <v>546.31450796537843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Exponen'!$K$16</f>
        <v>35293.717435258892</v>
      </c>
      <c r="O25" s="7">
        <f>'Double Exponen'!$K$16</f>
        <v>39534.586743353815</v>
      </c>
      <c r="P25" s="7">
        <f>'triple exponen'!$K$16</f>
        <v>37272.945675275303</v>
      </c>
      <c r="Q25" s="7">
        <f>'Konstanta a triple'!$K$16</f>
        <v>24550.337750990526</v>
      </c>
      <c r="R25" s="7">
        <f>'Konstanta b triple'!$K$16</f>
        <v>-7988.265060450155</v>
      </c>
      <c r="S25" s="7">
        <f>'Konstanta c triple'!$K$16</f>
        <v>-1194.3386405216515</v>
      </c>
      <c r="T25" s="7">
        <f>'Peramalan triple'!$K$16</f>
        <v>25192.661081605023</v>
      </c>
      <c r="U25" s="7">
        <f t="shared" si="6"/>
        <v>-4.0374192921950174</v>
      </c>
      <c r="V25" s="7">
        <f t="shared" si="7"/>
        <v>4.0374192921950174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Exponen'!$L$16</f>
        <v>32763.782204681222</v>
      </c>
      <c r="O26" s="7">
        <f>'Double Exponen'!$L$16</f>
        <v>37503.345381752035</v>
      </c>
      <c r="P26" s="7">
        <f>'triple exponen'!$L$16</f>
        <v>37342.065587218327</v>
      </c>
      <c r="Q26" s="7">
        <f>'Konstanta a triple'!$L$16</f>
        <v>23123.376056005887</v>
      </c>
      <c r="R26" s="7">
        <f>'Konstanta b triple'!$L$16</f>
        <v>-6682.0413244509718</v>
      </c>
      <c r="S26" s="7">
        <f>'Konstanta c triple'!$L$16</f>
        <v>-900.15483151919784</v>
      </c>
      <c r="T26" s="7">
        <f>'Peramalan triple'!$L$16</f>
        <v>15964.903370279546</v>
      </c>
      <c r="U26" s="7">
        <f t="shared" si="6"/>
        <v>40.563861677402791</v>
      </c>
      <c r="V26" s="7">
        <f t="shared" si="7"/>
        <v>40.563861677402791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Exponen'!$M$16</f>
        <v>33090.457543276854</v>
      </c>
      <c r="O27" s="7">
        <f>'Double Exponen'!$M$16</f>
        <v>36179.479030209477</v>
      </c>
      <c r="P27" s="7">
        <f>'triple exponen'!$M$16</f>
        <v>36993.289620115676</v>
      </c>
      <c r="Q27" s="7">
        <f>'Konstanta a triple'!$M$16</f>
        <v>27726.225159317801</v>
      </c>
      <c r="R27" s="7">
        <f>'Konstanta b triple'!$M$16</f>
        <v>-3482.9950599451799</v>
      </c>
      <c r="S27" s="7">
        <f>'Konstanta c triple'!$M$16</f>
        <v>-417.89587904566963</v>
      </c>
      <c r="T27" s="7">
        <f>'Peramalan triple'!$M$16</f>
        <v>15991.257315795316</v>
      </c>
      <c r="U27" s="7">
        <f t="shared" si="6"/>
        <v>52.762239597446239</v>
      </c>
      <c r="V27" s="7">
        <f t="shared" si="7"/>
        <v>52.762239597446239</v>
      </c>
    </row>
    <row r="28" spans="12:22" x14ac:dyDescent="0.3">
      <c r="U28" s="7">
        <f>(SUM(U17:U27)/12)</f>
        <v>-41.062798080021516</v>
      </c>
      <c r="V28" s="7">
        <f>(SUM(V17:V27)/12)</f>
        <v>79.926864063741334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Exponen'!$B$17</f>
        <v>4698.6499999999996</v>
      </c>
      <c r="O30" s="7">
        <f>'Double Exponen'!$B$17</f>
        <v>4698.6499999999996</v>
      </c>
      <c r="P30" s="7">
        <f>'triple exponen'!$B$17</f>
        <v>4698.6499999999996</v>
      </c>
      <c r="Q30" s="7">
        <f>'Konstanta a triple'!$B$17</f>
        <v>4698.6499999999996</v>
      </c>
      <c r="R30" s="7">
        <f>'Konstanta b triple'!$B$17</f>
        <v>0</v>
      </c>
      <c r="S30" s="7">
        <f>'Konstanta c triple'!$B$17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Exponen'!$C$17</f>
        <v>5882.5550000000003</v>
      </c>
      <c r="O31" s="7">
        <f>'Double Exponen'!$C$17</f>
        <v>5053.8214999999991</v>
      </c>
      <c r="P31" s="7">
        <f>'triple exponen'!$C$17</f>
        <v>4805.2014499999996</v>
      </c>
      <c r="Q31" s="7">
        <f>'Konstanta a triple'!$C$17</f>
        <v>7291.4019500000022</v>
      </c>
      <c r="R31" s="7">
        <f>'Konstanta b triple'!$C$17</f>
        <v>905.68732500000135</v>
      </c>
      <c r="S31" s="7">
        <f>'Konstanta c triple'!$C$17</f>
        <v>106.55145000000032</v>
      </c>
      <c r="T31" s="7">
        <f>'Peramalan triple'!$C$17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Exponen'!$D$17</f>
        <v>6514.6234999999997</v>
      </c>
      <c r="O32" s="7">
        <f>'Double Exponen'!$D$17</f>
        <v>5492.0620999999992</v>
      </c>
      <c r="P32" s="7">
        <f>'triple exponen'!$D$17</f>
        <v>5011.2596450000001</v>
      </c>
      <c r="Q32" s="7">
        <f>'Konstanta a triple'!$D$17</f>
        <v>8078.9438449999998</v>
      </c>
      <c r="R32" s="7">
        <f>'Konstanta b triple'!$D$17</f>
        <v>952.35878250000258</v>
      </c>
      <c r="S32" s="7">
        <f>'Konstanta c triple'!$D$17</f>
        <v>99.506745000000265</v>
      </c>
      <c r="T32" s="7">
        <f>'Peramalan triple'!$D$17</f>
        <v>8250.3650000000034</v>
      </c>
      <c r="U32" s="7">
        <f t="shared" si="8"/>
        <v>-3.2657442001640113</v>
      </c>
      <c r="V32" s="7">
        <f t="shared" si="9"/>
        <v>3.2657442001640113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Exponen'!$E$17</f>
        <v>6523.3044499999996</v>
      </c>
      <c r="O33" s="7">
        <f>'Double Exponen'!$E$17</f>
        <v>5801.434804999999</v>
      </c>
      <c r="P33" s="7">
        <f>'triple exponen'!$E$17</f>
        <v>5248.3121930000007</v>
      </c>
      <c r="Q33" s="7">
        <f>'Konstanta a triple'!$E$17</f>
        <v>7413.9211280000009</v>
      </c>
      <c r="R33" s="7">
        <f>'Konstanta b triple'!$E$17</f>
        <v>469.51019550000342</v>
      </c>
      <c r="S33" s="7">
        <f>'Konstanta c triple'!$E$17</f>
        <v>30.994353000000437</v>
      </c>
      <c r="T33" s="7">
        <f>'Peramalan triple'!$E$17</f>
        <v>9081.0560000000023</v>
      </c>
      <c r="U33" s="7">
        <f t="shared" si="8"/>
        <v>-38.778524228401693</v>
      </c>
      <c r="V33" s="7">
        <f t="shared" si="9"/>
        <v>38.778524228401693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Exponen'!$F$17</f>
        <v>18275.593115000003</v>
      </c>
      <c r="O34" s="7">
        <f>'Double Exponen'!$F$17</f>
        <v>9543.6822979999997</v>
      </c>
      <c r="P34" s="7">
        <f>'triple exponen'!$F$17</f>
        <v>6536.9232245000012</v>
      </c>
      <c r="Q34" s="7">
        <f>'Konstanta a triple'!$F$17</f>
        <v>32732.655675500013</v>
      </c>
      <c r="R34" s="7">
        <f>'Konstanta b triple'!$F$17</f>
        <v>9175.2996577500089</v>
      </c>
      <c r="S34" s="7">
        <f>'Konstanta c triple'!$F$17</f>
        <v>1051.5584835000009</v>
      </c>
      <c r="T34" s="7">
        <f>'Peramalan triple'!$F$17</f>
        <v>7898.9285000000045</v>
      </c>
      <c r="U34" s="7">
        <f t="shared" si="8"/>
        <v>82.71478480270298</v>
      </c>
      <c r="V34" s="7">
        <f t="shared" si="9"/>
        <v>82.71478480270298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Exponen'!$G$17</f>
        <v>14875.821180500003</v>
      </c>
      <c r="O35" s="7">
        <f>'Double Exponen'!$G$17</f>
        <v>11143.323962750001</v>
      </c>
      <c r="P35" s="7">
        <f>'triple exponen'!$G$17</f>
        <v>7918.8434459750024</v>
      </c>
      <c r="Q35" s="7">
        <f>'Konstanta a triple'!$G$17</f>
        <v>19116.335099225009</v>
      </c>
      <c r="R35" s="7">
        <f>'Konstanta b triple'!$G$17</f>
        <v>2081.7391462875044</v>
      </c>
      <c r="S35" s="7">
        <f>'Konstanta c triple'!$G$17</f>
        <v>93.30918997500072</v>
      </c>
      <c r="T35" s="7">
        <f>'Peramalan triple'!$G$17</f>
        <v>42433.734575000024</v>
      </c>
      <c r="U35" s="7">
        <f t="shared" si="8"/>
        <v>-511.17114130450466</v>
      </c>
      <c r="V35" s="7">
        <f t="shared" si="9"/>
        <v>511.17114130450466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Exponen'!$H$17</f>
        <v>13001.387826350001</v>
      </c>
      <c r="O36" s="7">
        <f>'Double Exponen'!$H$17</f>
        <v>11700.743121830001</v>
      </c>
      <c r="P36" s="7">
        <f>'triple exponen'!$H$17</f>
        <v>9053.413348731503</v>
      </c>
      <c r="Q36" s="7">
        <f>'Konstanta a triple'!$H$17</f>
        <v>12955.347462291507</v>
      </c>
      <c r="R36" s="7">
        <f>'Konstanta b triple'!$H$17</f>
        <v>-720.55748763224653</v>
      </c>
      <c r="S36" s="7">
        <f>'Konstanta c triple'!$H$17</f>
        <v>-247.35031871849955</v>
      </c>
      <c r="T36" s="7">
        <f>'Peramalan triple'!$H$17</f>
        <v>21244.728840500014</v>
      </c>
      <c r="U36" s="7">
        <f t="shared" si="8"/>
        <v>-146.2383279050874</v>
      </c>
      <c r="V36" s="7">
        <f t="shared" si="9"/>
        <v>146.2383279050874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Exponen'!$I$17</f>
        <v>14259.171478445001</v>
      </c>
      <c r="O37" s="7">
        <f>'Double Exponen'!$I$17</f>
        <v>12468.2716288145</v>
      </c>
      <c r="P37" s="7">
        <f>'triple exponen'!$I$17</f>
        <v>10077.870832756404</v>
      </c>
      <c r="Q37" s="7">
        <f>'Konstanta a triple'!$I$17</f>
        <v>15450.570381647909</v>
      </c>
      <c r="R37" s="7">
        <f>'Konstanta b triple'!$I$17</f>
        <v>198.61434353790582</v>
      </c>
      <c r="S37" s="7">
        <f>'Konstanta c triple'!$I$17</f>
        <v>-110.11241873159916</v>
      </c>
      <c r="T37" s="7">
        <f>'Peramalan triple'!$I$17</f>
        <v>12111.114815300012</v>
      </c>
      <c r="U37" s="7">
        <f t="shared" si="8"/>
        <v>29.561970365825218</v>
      </c>
      <c r="V37" s="7">
        <f t="shared" si="9"/>
        <v>29.561970365825218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Exponen'!$J$17</f>
        <v>15154.0200349115</v>
      </c>
      <c r="O38" s="7">
        <f>'Double Exponen'!$J$17</f>
        <v>13273.996150643599</v>
      </c>
      <c r="P38" s="7">
        <f>'triple exponen'!$J$17</f>
        <v>11036.708428122563</v>
      </c>
      <c r="Q38" s="7">
        <f>'Konstanta a triple'!$J$17</f>
        <v>16676.780080926263</v>
      </c>
      <c r="R38" s="7">
        <f>'Konstanta b triple'!$J$17</f>
        <v>466.68843042561667</v>
      </c>
      <c r="S38" s="7">
        <f>'Konstanta c triple'!$J$17</f>
        <v>-65.619888658739072</v>
      </c>
      <c r="T38" s="7">
        <f>'Peramalan triple'!$J$17</f>
        <v>15594.128515820015</v>
      </c>
      <c r="U38" s="7">
        <f t="shared" si="8"/>
        <v>9.5573105450642881</v>
      </c>
      <c r="V38" s="7">
        <f t="shared" si="9"/>
        <v>9.5573105450642881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Exponen'!$K$17</f>
        <v>21157.974024438052</v>
      </c>
      <c r="O39" s="7">
        <f>'Double Exponen'!$K$17</f>
        <v>15639.189512781933</v>
      </c>
      <c r="P39" s="7">
        <f>'triple exponen'!$K$17</f>
        <v>12417.452753520374</v>
      </c>
      <c r="Q39" s="7">
        <f>'Konstanta a triple'!$K$17</f>
        <v>28973.806288488726</v>
      </c>
      <c r="R39" s="7">
        <f>'Konstanta b triple'!$K$17</f>
        <v>4545.0448006352208</v>
      </c>
      <c r="S39" s="7">
        <f>'Konstanta c triple'!$K$17</f>
        <v>421.90673003165375</v>
      </c>
      <c r="T39" s="7">
        <f>'Peramalan triple'!$K$17</f>
        <v>17110.65856702251</v>
      </c>
      <c r="U39" s="7">
        <f t="shared" si="8"/>
        <v>51.344836759757641</v>
      </c>
      <c r="V39" s="7">
        <f t="shared" si="9"/>
        <v>51.344836759757641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Exponen'!$L$17</f>
        <v>16773.601817106635</v>
      </c>
      <c r="O40" s="7">
        <f>'Double Exponen'!$L$17</f>
        <v>15979.513204079343</v>
      </c>
      <c r="P40" s="7">
        <f>'triple exponen'!$L$17</f>
        <v>13486.070888688066</v>
      </c>
      <c r="Q40" s="7">
        <f>'Konstanta a triple'!$L$17</f>
        <v>15868.336727769934</v>
      </c>
      <c r="R40" s="7">
        <f>'Konstanta b triple'!$L$17</f>
        <v>-1272.3282915582092</v>
      </c>
      <c r="S40" s="7">
        <f>'Konstanta c triple'!$L$17</f>
        <v>-312.12619023011979</v>
      </c>
      <c r="T40" s="7">
        <f>'Peramalan triple'!$L$17</f>
        <v>33729.804454139776</v>
      </c>
      <c r="U40" s="7">
        <f t="shared" si="8"/>
        <v>-415.478259836473</v>
      </c>
      <c r="V40" s="7">
        <f t="shared" si="9"/>
        <v>415.478259836473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Exponen'!$M$17</f>
        <v>14261.983271974645</v>
      </c>
      <c r="O41" s="7">
        <f>'Double Exponen'!$M$17</f>
        <v>15464.254224447934</v>
      </c>
      <c r="P41" s="7">
        <f>'triple exponen'!$M$17</f>
        <v>14079.525889416027</v>
      </c>
      <c r="Q41" s="7">
        <f>'Konstanta a triple'!$M$17</f>
        <v>10472.713031996156</v>
      </c>
      <c r="R41" s="7">
        <f>'Konstanta b triple'!$M$17</f>
        <v>-2970.2685075700128</v>
      </c>
      <c r="S41" s="7">
        <f>'Konstanta c triple'!$M$17</f>
        <v>-475.16313443972984</v>
      </c>
      <c r="T41" s="7">
        <f>'Peramalan triple'!$M$17</f>
        <v>14439.945341096665</v>
      </c>
      <c r="U41" s="7">
        <f t="shared" si="8"/>
        <v>-71.872601226640171</v>
      </c>
      <c r="V41" s="7">
        <f t="shared" si="9"/>
        <v>71.872601226640171</v>
      </c>
    </row>
    <row r="42" spans="12:22" x14ac:dyDescent="0.3">
      <c r="U42" s="7">
        <f>(SUM(U31:U41)/12)</f>
        <v>-80.664730517547483</v>
      </c>
      <c r="V42" s="7">
        <f>(SUM(V31:V41)/12)</f>
        <v>117.13603593266436</v>
      </c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FB3BC-4495-46D9-AFAC-F07379589690}">
  <dimension ref="A1:AG42"/>
  <sheetViews>
    <sheetView topLeftCell="E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6" width="9.44140625" style="6" bestFit="1" customWidth="1"/>
    <col min="7" max="7" width="9.109375" style="6" bestFit="1" customWidth="1"/>
    <col min="8" max="8" width="8.44140625" style="6" bestFit="1" customWidth="1"/>
    <col min="9" max="9" width="9.44140625" style="6" bestFit="1" customWidth="1"/>
    <col min="10" max="10" width="7.109375" style="6" bestFit="1" customWidth="1"/>
    <col min="11" max="11" width="6.44140625" style="6" bestFit="1" customWidth="1"/>
    <col min="12" max="12" width="13.6640625" style="6" bestFit="1" customWidth="1"/>
    <col min="13" max="17" width="9.44140625" style="6" bestFit="1" customWidth="1"/>
    <col min="18" max="19" width="9.109375" style="6" bestFit="1" customWidth="1"/>
    <col min="20" max="20" width="9.44140625" style="6" bestFit="1" customWidth="1"/>
    <col min="21" max="21" width="7.109375" style="6" bestFit="1" customWidth="1"/>
    <col min="22" max="22" width="6.44140625" style="6" bestFit="1" customWidth="1"/>
    <col min="23" max="23" width="14.109375" style="6" bestFit="1" customWidth="1"/>
    <col min="24" max="28" width="8.44140625" style="6" bestFit="1" customWidth="1"/>
    <col min="29" max="29" width="9.109375" style="6" bestFit="1" customWidth="1"/>
    <col min="30" max="30" width="8.109375" style="6" bestFit="1" customWidth="1"/>
    <col min="31" max="31" width="8.44140625" style="6" bestFit="1" customWidth="1"/>
    <col min="32" max="32" width="7.109375" style="6" bestFit="1" customWidth="1"/>
    <col min="33" max="33" width="6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Exponen'!$B$20</f>
        <v>12588.09</v>
      </c>
      <c r="D2" s="7">
        <f>'Double Exponen'!$B$20</f>
        <v>12588.09</v>
      </c>
      <c r="E2" s="7">
        <f>'triple exponen'!$B$20</f>
        <v>12588.09</v>
      </c>
      <c r="F2" s="7">
        <f>'Konstanta a triple'!$B$20</f>
        <v>12588.09</v>
      </c>
      <c r="G2" s="7">
        <f>'Konstanta b triple'!$B$20</f>
        <v>-4.0421986745463479E-12</v>
      </c>
      <c r="H2" s="7">
        <f>'Konstanta c triple'!$B$20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Exponen'!$B$21</f>
        <v>459915.78</v>
      </c>
      <c r="O2" s="7">
        <f>'Double Exponen'!$B$21</f>
        <v>459915.78</v>
      </c>
      <c r="P2" s="7">
        <f>'triple exponen'!$B$21</f>
        <v>459915.78</v>
      </c>
      <c r="Q2" s="7">
        <f>'Konstanta a triple'!$B$21</f>
        <v>459915.78</v>
      </c>
      <c r="R2" s="7">
        <f>'Konstanta b triple'!$B$21</f>
        <v>0</v>
      </c>
      <c r="S2" s="7">
        <f>'Konstanta c triple'!$B$21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Exponen'!$B$24</f>
        <v>1033.08</v>
      </c>
      <c r="Z2" s="7">
        <f>'Double Exponen'!$B$24</f>
        <v>1033.08</v>
      </c>
      <c r="AA2" s="7">
        <f>'triple exponen'!$B$24</f>
        <v>1033.08</v>
      </c>
      <c r="AB2" s="7">
        <f>'Konstanta a triple'!$B$24</f>
        <v>1033.08</v>
      </c>
      <c r="AC2" s="7">
        <f>'Konstanta b triple'!$B$24</f>
        <v>0</v>
      </c>
      <c r="AD2" s="7">
        <f>'Konstanta c triple'!$B$24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Exponen'!$C$20</f>
        <v>9468.753999999999</v>
      </c>
      <c r="D3" s="7">
        <f>'Double Exponen'!$C$20</f>
        <v>11340.355599999999</v>
      </c>
      <c r="E3" s="7">
        <f>'triple exponen'!$C$20</f>
        <v>12088.99624</v>
      </c>
      <c r="F3" s="7">
        <f>'Konstanta a triple'!$C$20</f>
        <v>6474.1914399999951</v>
      </c>
      <c r="G3" s="7">
        <f>'Konstanta b triple'!$C$20</f>
        <v>-2994.5625599999971</v>
      </c>
      <c r="H3" s="7">
        <f>'Konstanta c triple'!$C$20</f>
        <v>-499.09375999999946</v>
      </c>
      <c r="I3" s="7">
        <f>'Peramalan triple'!$C$20</f>
        <v>12588.089999999997</v>
      </c>
      <c r="J3" s="7">
        <f>((B3-I3)/B3)*100</f>
        <v>-162.81309045357267</v>
      </c>
      <c r="K3" s="7">
        <f>ABS((B3-I3)/B3)*100</f>
        <v>162.81309045357267</v>
      </c>
      <c r="L3" s="7" t="str">
        <f>'Rekap 0,1'!J3</f>
        <v>Februari</v>
      </c>
      <c r="M3" s="7">
        <f>kg!$C$4</f>
        <v>397220.76</v>
      </c>
      <c r="N3" s="7">
        <f>'Single Exponen'!$C$21</f>
        <v>434837.772</v>
      </c>
      <c r="O3" s="7">
        <f>'Double Exponen'!$C$21</f>
        <v>449884.57680000004</v>
      </c>
      <c r="P3" s="7">
        <f>'triple exponen'!$C$21</f>
        <v>455903.29872000008</v>
      </c>
      <c r="Q3" s="7">
        <f>'Konstanta a triple'!$C$21</f>
        <v>410762.88431999995</v>
      </c>
      <c r="R3" s="7">
        <f>'Konstanta b triple'!$C$21</f>
        <v>-24074.887680000134</v>
      </c>
      <c r="S3" s="7">
        <f>'Konstanta c triple'!$C$21</f>
        <v>-4012.4812800000013</v>
      </c>
      <c r="T3" s="7">
        <f>'Peramalan triple'!$C$21</f>
        <v>459915.78</v>
      </c>
      <c r="U3" s="7">
        <f t="shared" ref="U3:U13" si="0">((M3-T3)/M3)*100</f>
        <v>-15.783419778966239</v>
      </c>
      <c r="V3" s="7">
        <f t="shared" ref="V3:V13" si="1">ABS((M3-T3)/M3)*100</f>
        <v>15.783419778966239</v>
      </c>
      <c r="W3" s="7" t="str">
        <f>'Rekap 0,1'!S3</f>
        <v>Februari</v>
      </c>
      <c r="X3" s="7">
        <f>kg!$C$7</f>
        <v>25477.94</v>
      </c>
      <c r="Y3" s="7">
        <f>'Single Exponen'!$C$24</f>
        <v>10811.023999999999</v>
      </c>
      <c r="Z3" s="7">
        <f>'Double Exponen'!$C$24</f>
        <v>4944.2575999999999</v>
      </c>
      <c r="AA3" s="7">
        <f>'triple exponen'!$C$24</f>
        <v>2597.5510400000003</v>
      </c>
      <c r="AB3" s="7">
        <f>'Konstanta a triple'!$C$24</f>
        <v>20197.85024</v>
      </c>
      <c r="AC3" s="7">
        <f>'Konstanta b triple'!$C$24</f>
        <v>9386.8262400000003</v>
      </c>
      <c r="AD3" s="7">
        <f>'Konstanta c triple'!$C$24</f>
        <v>1564.4710400000004</v>
      </c>
      <c r="AE3" s="7">
        <f>'Peramalan triple'!$C$24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Exponen'!$D$20</f>
        <v>14091.588400000001</v>
      </c>
      <c r="D4" s="7">
        <f>'Double Exponen'!$D$20</f>
        <v>12440.848719999998</v>
      </c>
      <c r="E4" s="7">
        <f>'triple exponen'!$D$20</f>
        <v>12229.737232000001</v>
      </c>
      <c r="F4" s="7">
        <f>'Konstanta a triple'!$D$20</f>
        <v>17181.956272000003</v>
      </c>
      <c r="G4" s="7">
        <f>'Konstanta b triple'!$D$20</f>
        <v>3339.9147520000083</v>
      </c>
      <c r="H4" s="7">
        <f>'Konstanta c triple'!$D$20</f>
        <v>639.8347520000026</v>
      </c>
      <c r="I4" s="7">
        <f>'Peramalan triple'!$D$20</f>
        <v>3230.0819999999981</v>
      </c>
      <c r="J4" s="7">
        <f t="shared" ref="J4:J13" si="2">((B4-I4)/B4)*100</f>
        <v>84.637560259185847</v>
      </c>
      <c r="K4" s="7">
        <f t="shared" ref="K4:K13" si="3">ABS((B4-I4)/B4)*100</f>
        <v>84.637560259185847</v>
      </c>
      <c r="L4" s="7" t="str">
        <f>'Rekap 0,1'!J4</f>
        <v>Maret</v>
      </c>
      <c r="M4" s="7">
        <f>kg!$D$4</f>
        <v>389238.98</v>
      </c>
      <c r="N4" s="7">
        <f>'Single Exponen'!$D$21</f>
        <v>416598.25520000001</v>
      </c>
      <c r="O4" s="7">
        <f>'Double Exponen'!$D$21</f>
        <v>436570.04816000001</v>
      </c>
      <c r="P4" s="7">
        <f>'triple exponen'!$D$21</f>
        <v>448169.99849600007</v>
      </c>
      <c r="Q4" s="7">
        <f>'Konstanta a triple'!$D$21</f>
        <v>388254.6196160001</v>
      </c>
      <c r="R4" s="7">
        <f>'Konstanta b triple'!$D$21</f>
        <v>-26337.394943999956</v>
      </c>
      <c r="S4" s="7">
        <f>'Konstanta c triple'!$D$21</f>
        <v>-3720.8189439999669</v>
      </c>
      <c r="T4" s="7">
        <f>'Peramalan triple'!$D$21</f>
        <v>384681.75599999982</v>
      </c>
      <c r="U4" s="7">
        <f t="shared" si="0"/>
        <v>1.1708036024552737</v>
      </c>
      <c r="V4" s="7">
        <f t="shared" si="1"/>
        <v>1.1708036024552737</v>
      </c>
      <c r="W4" s="7" t="str">
        <f>'Rekap 0,1'!S4</f>
        <v>Maret</v>
      </c>
      <c r="X4" s="7">
        <f>kg!$D$7</f>
        <v>19497.02</v>
      </c>
      <c r="Y4" s="7">
        <f>'Single Exponen'!$D$24</f>
        <v>14285.422399999999</v>
      </c>
      <c r="Z4" s="7">
        <f>'Double Exponen'!$D$24</f>
        <v>8680.7235199999996</v>
      </c>
      <c r="AA4" s="7">
        <f>'triple exponen'!$D$24</f>
        <v>5030.8200320000005</v>
      </c>
      <c r="AB4" s="7">
        <f>'Konstanta a triple'!$D$24</f>
        <v>21844.916672000003</v>
      </c>
      <c r="AC4" s="7">
        <f>'Konstanta b triple'!$D$24</f>
        <v>6777.2587520000006</v>
      </c>
      <c r="AD4" s="7">
        <f>'Konstanta c triple'!$D$24</f>
        <v>868.79795200000058</v>
      </c>
      <c r="AE4" s="7">
        <f>'Peramalan triple'!$D$24</f>
        <v>30366.912000000004</v>
      </c>
      <c r="AF4" s="7">
        <f t="shared" ref="AF4:AF13" si="4">((X4-AE4)/X4)*100</f>
        <v>-55.751555878795855</v>
      </c>
      <c r="AG4" s="7">
        <f t="shared" ref="AG4:AG13" si="5">ABS((X4-AE4)/X4)*100</f>
        <v>55.751555878795855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Exponen'!$E$20</f>
        <v>12895.341039999999</v>
      </c>
      <c r="D5" s="7">
        <f>'Double Exponen'!$E$20</f>
        <v>12622.645647999998</v>
      </c>
      <c r="E5" s="7">
        <f>'triple exponen'!$E$20</f>
        <v>12386.900598400001</v>
      </c>
      <c r="F5" s="7">
        <f>'Konstanta a triple'!$E$20</f>
        <v>13204.986774400006</v>
      </c>
      <c r="G5" s="7">
        <f>'Konstanta b triple'!$E$20</f>
        <v>239.2752384000091</v>
      </c>
      <c r="H5" s="7">
        <f>'Konstanta c triple'!$E$20</f>
        <v>16.422374400002205</v>
      </c>
      <c r="I5" s="7">
        <f>'Peramalan triple'!$E$20</f>
        <v>20841.788400000012</v>
      </c>
      <c r="J5" s="7">
        <f t="shared" si="2"/>
        <v>-87.747452700079492</v>
      </c>
      <c r="K5" s="7">
        <f t="shared" si="3"/>
        <v>87.747452700079492</v>
      </c>
      <c r="L5" s="7" t="str">
        <f>'Rekap 0,1'!J5</f>
        <v>April</v>
      </c>
      <c r="M5" s="7">
        <f>kg!$E$4</f>
        <v>505904.1</v>
      </c>
      <c r="N5" s="7">
        <f>'Single Exponen'!$E$21</f>
        <v>452320.59311999998</v>
      </c>
      <c r="O5" s="7">
        <f>'Double Exponen'!$E$21</f>
        <v>442870.26614399999</v>
      </c>
      <c r="P5" s="7">
        <f>'triple exponen'!$E$21</f>
        <v>446050.10555520008</v>
      </c>
      <c r="Q5" s="7">
        <f>'Konstanta a triple'!$E$21</f>
        <v>474401.08648320014</v>
      </c>
      <c r="R5" s="7">
        <f>'Konstanta b triple'!$E$21</f>
        <v>25947.143475200155</v>
      </c>
      <c r="S5" s="7">
        <f>'Konstanta c triple'!$E$21</f>
        <v>5613.4072832000302</v>
      </c>
      <c r="T5" s="7">
        <f>'Peramalan triple'!$E$21</f>
        <v>360056.81520000019</v>
      </c>
      <c r="U5" s="7">
        <f t="shared" si="0"/>
        <v>28.829037914497984</v>
      </c>
      <c r="V5" s="7">
        <f t="shared" si="1"/>
        <v>28.829037914497984</v>
      </c>
      <c r="W5" s="7" t="str">
        <f>'Rekap 0,1'!S5</f>
        <v>April</v>
      </c>
      <c r="X5" s="7">
        <f>kg!$E$7</f>
        <v>18855.900000000001</v>
      </c>
      <c r="Y5" s="7">
        <f>'Single Exponen'!$E$24</f>
        <v>16113.613439999999</v>
      </c>
      <c r="Z5" s="7">
        <f>'Double Exponen'!$E$24</f>
        <v>11653.879487999999</v>
      </c>
      <c r="AA5" s="7">
        <f>'triple exponen'!$E$24</f>
        <v>7680.0438144000009</v>
      </c>
      <c r="AB5" s="7">
        <f>'Konstanta a triple'!$E$24</f>
        <v>21059.2456704</v>
      </c>
      <c r="AC5" s="7">
        <f>'Konstanta b triple'!$E$24</f>
        <v>3728.9977344000022</v>
      </c>
      <c r="AD5" s="7">
        <f>'Konstanta c triple'!$E$24</f>
        <v>215.95479040000126</v>
      </c>
      <c r="AE5" s="7">
        <f>'Peramalan triple'!$E$24</f>
        <v>29056.574400000005</v>
      </c>
      <c r="AF5" s="7">
        <f t="shared" si="4"/>
        <v>-54.098051007907358</v>
      </c>
      <c r="AG5" s="7">
        <f t="shared" si="5"/>
        <v>54.098051007907358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Exponen'!$F$20</f>
        <v>11375.468623999999</v>
      </c>
      <c r="D6" s="7">
        <f>'Double Exponen'!$F$20</f>
        <v>12123.774838399999</v>
      </c>
      <c r="E6" s="7">
        <f>'triple exponen'!$F$20</f>
        <v>12281.650294400002</v>
      </c>
      <c r="F6" s="7">
        <f>'Konstanta a triple'!$F$20</f>
        <v>10036.731651200003</v>
      </c>
      <c r="G6" s="7">
        <f>'Konstanta b triple'!$F$20</f>
        <v>-1417.3186559999967</v>
      </c>
      <c r="H6" s="7">
        <f>'Konstanta c triple'!$F$20</f>
        <v>-262.41367039999835</v>
      </c>
      <c r="I6" s="7">
        <f>'Peramalan triple'!$F$20</f>
        <v>13452.473200000015</v>
      </c>
      <c r="J6" s="7">
        <f t="shared" si="2"/>
        <v>-47.89991270562021</v>
      </c>
      <c r="K6" s="7">
        <f t="shared" si="3"/>
        <v>47.89991270562021</v>
      </c>
      <c r="L6" s="7" t="str">
        <f>'Rekap 0,1'!J6</f>
        <v>Mei</v>
      </c>
      <c r="M6" s="7">
        <f>kg!$F$4</f>
        <v>201079.58</v>
      </c>
      <c r="N6" s="7">
        <f>'Single Exponen'!$F$21</f>
        <v>351824.18787199998</v>
      </c>
      <c r="O6" s="7">
        <f>'Double Exponen'!$F$21</f>
        <v>406451.83483519999</v>
      </c>
      <c r="P6" s="7">
        <f>'triple exponen'!$F$21</f>
        <v>430210.79726720008</v>
      </c>
      <c r="Q6" s="7">
        <f>'Konstanta a triple'!$F$21</f>
        <v>266327.85637760011</v>
      </c>
      <c r="R6" s="7">
        <f>'Konstanta b triple'!$F$21</f>
        <v>-84436.385023999814</v>
      </c>
      <c r="S6" s="7">
        <f>'Konstanta c triple'!$F$21</f>
        <v>-13719.415347199967</v>
      </c>
      <c r="T6" s="7">
        <f>'Peramalan triple'!$F$21</f>
        <v>503154.93360000034</v>
      </c>
      <c r="U6" s="7">
        <f t="shared" si="0"/>
        <v>-150.22676773046791</v>
      </c>
      <c r="V6" s="7">
        <f t="shared" si="1"/>
        <v>150.22676773046791</v>
      </c>
      <c r="W6" s="7" t="str">
        <f>'Rekap 0,1'!S6</f>
        <v>Mei</v>
      </c>
      <c r="X6" s="7">
        <f>kg!$F$7</f>
        <v>26851.599999999999</v>
      </c>
      <c r="Y6" s="7">
        <f>'Single Exponen'!$F$24</f>
        <v>20408.808063999997</v>
      </c>
      <c r="Z6" s="7">
        <f>'Double Exponen'!$F$24</f>
        <v>15155.850918399998</v>
      </c>
      <c r="AA6" s="7">
        <f>'triple exponen'!$F$24</f>
        <v>10670.366656000002</v>
      </c>
      <c r="AB6" s="7">
        <f>'Konstanta a triple'!$F$24</f>
        <v>26429.238092800002</v>
      </c>
      <c r="AC6" s="7">
        <f>'Konstanta b triple'!$F$24</f>
        <v>4695.8181376000093</v>
      </c>
      <c r="AD6" s="7">
        <f>'Konstanta c triple'!$F$24</f>
        <v>341.0990592000017</v>
      </c>
      <c r="AE6" s="7">
        <f>'Peramalan triple'!$F$24</f>
        <v>24896.220800000003</v>
      </c>
      <c r="AF6" s="7">
        <f t="shared" si="4"/>
        <v>7.2821701500096676</v>
      </c>
      <c r="AG6" s="7">
        <f t="shared" si="5"/>
        <v>7.2821701500096676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Exponen'!$G$20</f>
        <v>10099.425174399999</v>
      </c>
      <c r="D7" s="7">
        <f>'Double Exponen'!$G$20</f>
        <v>11314.034972799998</v>
      </c>
      <c r="E7" s="7">
        <f>'triple exponen'!$G$20</f>
        <v>11894.604165760002</v>
      </c>
      <c r="F7" s="7">
        <f>'Konstanta a triple'!$G$20</f>
        <v>8250.7747705600068</v>
      </c>
      <c r="G7" s="7">
        <f>'Konstanta b triple'!$G$20</f>
        <v>-1796.0252518399932</v>
      </c>
      <c r="H7" s="7">
        <f>'Konstanta c triple'!$G$20</f>
        <v>-281.79582463999805</v>
      </c>
      <c r="I7" s="7">
        <f>'Peramalan triple'!$G$20</f>
        <v>8488.2061600000088</v>
      </c>
      <c r="J7" s="7">
        <f t="shared" si="2"/>
        <v>-3.6998514420869597</v>
      </c>
      <c r="K7" s="7">
        <f t="shared" si="3"/>
        <v>3.6998514420869597</v>
      </c>
      <c r="L7" s="7" t="str">
        <f>'Rekap 0,1'!J7</f>
        <v>Juni</v>
      </c>
      <c r="M7" s="7">
        <f>kg!$G$4</f>
        <v>378271.8</v>
      </c>
      <c r="N7" s="7">
        <f>'Single Exponen'!$G$21</f>
        <v>362403.2327232</v>
      </c>
      <c r="O7" s="7">
        <f>'Double Exponen'!$G$21</f>
        <v>388832.39399040001</v>
      </c>
      <c r="P7" s="7">
        <f>'triple exponen'!$G$21</f>
        <v>413659.4359564801</v>
      </c>
      <c r="Q7" s="7">
        <f>'Konstanta a triple'!$G$21</f>
        <v>334371.95215488004</v>
      </c>
      <c r="R7" s="7">
        <f>'Konstanta b triple'!$G$21</f>
        <v>-20111.626424320017</v>
      </c>
      <c r="S7" s="7">
        <f>'Konstanta c triple'!$G$21</f>
        <v>-712.05302271997152</v>
      </c>
      <c r="T7" s="7">
        <f>'Peramalan triple'!$G$21</f>
        <v>175031.76368000032</v>
      </c>
      <c r="U7" s="7">
        <f t="shared" si="0"/>
        <v>53.728571973908622</v>
      </c>
      <c r="V7" s="7">
        <f t="shared" si="1"/>
        <v>53.728571973908622</v>
      </c>
      <c r="W7" s="7" t="str">
        <f>'Rekap 0,1'!S7</f>
        <v>Juni</v>
      </c>
      <c r="X7" s="7">
        <f>kg!$G$7</f>
        <v>17468.29</v>
      </c>
      <c r="Y7" s="7">
        <f>'Single Exponen'!$G$24</f>
        <v>19232.600838399998</v>
      </c>
      <c r="Z7" s="7">
        <f>'Double Exponen'!$G$24</f>
        <v>16786.5508864</v>
      </c>
      <c r="AA7" s="7">
        <f>'triple exponen'!$G$24</f>
        <v>13116.840348160003</v>
      </c>
      <c r="AB7" s="7">
        <f>'Konstanta a triple'!$G$24</f>
        <v>20454.990204159993</v>
      </c>
      <c r="AC7" s="7">
        <f>'Konstanta b triple'!$G$24</f>
        <v>-272.77205504000045</v>
      </c>
      <c r="AD7" s="7">
        <f>'Konstanta c triple'!$G$24</f>
        <v>-543.84914943999979</v>
      </c>
      <c r="AE7" s="7">
        <f>'Peramalan triple'!$G$24</f>
        <v>31295.605760000013</v>
      </c>
      <c r="AF7" s="7">
        <f t="shared" si="4"/>
        <v>-79.156664790886865</v>
      </c>
      <c r="AG7" s="7">
        <f t="shared" si="5"/>
        <v>79.156664790886865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Exponen'!$H$20</f>
        <v>13365.81510464</v>
      </c>
      <c r="D8" s="7">
        <f>'Double Exponen'!$H$20</f>
        <v>12134.747025535999</v>
      </c>
      <c r="E8" s="7">
        <f>'triple exponen'!$H$20</f>
        <v>11990.661309670402</v>
      </c>
      <c r="F8" s="7">
        <f>'Konstanta a triple'!$H$20</f>
        <v>15683.865546982401</v>
      </c>
      <c r="G8" s="7">
        <f>'Konstanta b triple'!$H$20</f>
        <v>2511.5735066624138</v>
      </c>
      <c r="H8" s="7">
        <f>'Konstanta c triple'!$H$20</f>
        <v>483.10327255040232</v>
      </c>
      <c r="I8" s="7">
        <f>'Peramalan triple'!$H$20</f>
        <v>6313.851606400015</v>
      </c>
      <c r="J8" s="7">
        <f t="shared" si="2"/>
        <v>65.432721942032401</v>
      </c>
      <c r="K8" s="7">
        <f t="shared" si="3"/>
        <v>65.432721942032401</v>
      </c>
      <c r="L8" s="7" t="str">
        <f>'Rekap 0,1'!J8</f>
        <v>Juli</v>
      </c>
      <c r="M8" s="7">
        <f>kg!$H$4</f>
        <v>463478.68</v>
      </c>
      <c r="N8" s="7">
        <f>'Single Exponen'!$H$21</f>
        <v>402833.41163392004</v>
      </c>
      <c r="O8" s="7">
        <f>'Double Exponen'!$H$21</f>
        <v>394432.80104780803</v>
      </c>
      <c r="P8" s="7">
        <f>'triple exponen'!$H$21</f>
        <v>405968.7819930113</v>
      </c>
      <c r="Q8" s="7">
        <f>'Konstanta a triple'!$H$21</f>
        <v>431170.61375134747</v>
      </c>
      <c r="R8" s="7">
        <f>'Konstanta b triple'!$H$21</f>
        <v>36612.882772787321</v>
      </c>
      <c r="S8" s="7">
        <f>'Konstanta c triple'!$H$21</f>
        <v>8860.7073472512438</v>
      </c>
      <c r="T8" s="7">
        <f>'Peramalan triple'!$H$21</f>
        <v>313904.29921920004</v>
      </c>
      <c r="U8" s="7">
        <f t="shared" si="0"/>
        <v>32.272116762911281</v>
      </c>
      <c r="V8" s="7">
        <f t="shared" si="1"/>
        <v>32.272116762911281</v>
      </c>
      <c r="W8" s="7" t="str">
        <f>'Rekap 0,1'!S8</f>
        <v>Juli</v>
      </c>
      <c r="X8" s="7">
        <f>kg!$H$7</f>
        <v>53358.239999999998</v>
      </c>
      <c r="Y8" s="7">
        <f>'Single Exponen'!$H$24</f>
        <v>32882.856503039999</v>
      </c>
      <c r="Z8" s="7">
        <f>'Double Exponen'!$H$24</f>
        <v>23225.073133056001</v>
      </c>
      <c r="AA8" s="7">
        <f>'triple exponen'!$H$24</f>
        <v>17160.133462118403</v>
      </c>
      <c r="AB8" s="7">
        <f>'Konstanta a triple'!$H$24</f>
        <v>46133.483572070385</v>
      </c>
      <c r="AC8" s="7">
        <f>'Konstanta b triple'!$H$24</f>
        <v>12027.390222950393</v>
      </c>
      <c r="AD8" s="7">
        <f>'Konstanta c triple'!$H$24</f>
        <v>1596.8194217984001</v>
      </c>
      <c r="AE8" s="7">
        <f>'Peramalan triple'!$H$24</f>
        <v>19910.293574399991</v>
      </c>
      <c r="AF8" s="7">
        <f t="shared" si="4"/>
        <v>62.685625360956443</v>
      </c>
      <c r="AG8" s="7">
        <f t="shared" si="5"/>
        <v>62.685625360956443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Exponen'!$I$20</f>
        <v>12437.361062783999</v>
      </c>
      <c r="D9" s="7">
        <f>'Double Exponen'!$I$20</f>
        <v>12255.7926404352</v>
      </c>
      <c r="E9" s="7">
        <f>'triple exponen'!$I$20</f>
        <v>12096.713841976321</v>
      </c>
      <c r="F9" s="7">
        <f>'Konstanta a triple'!$I$20</f>
        <v>12641.419109022725</v>
      </c>
      <c r="G9" s="7">
        <f>'Konstanta b triple'!$I$20</f>
        <v>156.02947428351601</v>
      </c>
      <c r="H9" s="7">
        <f>'Konstanta c triple'!$I$20</f>
        <v>9.9953883955200205</v>
      </c>
      <c r="I9" s="7">
        <f>'Peramalan triple'!$I$20</f>
        <v>18436.990689920018</v>
      </c>
      <c r="J9" s="7">
        <f t="shared" si="2"/>
        <v>-66.930963051170494</v>
      </c>
      <c r="K9" s="7">
        <f t="shared" si="3"/>
        <v>66.930963051170494</v>
      </c>
      <c r="L9" s="7" t="str">
        <f>'Rekap 0,1'!J9</f>
        <v>Agustus</v>
      </c>
      <c r="M9" s="7">
        <f>kg!$I$4</f>
        <v>511860.86</v>
      </c>
      <c r="N9" s="7">
        <f>'Single Exponen'!$I$21</f>
        <v>446444.39098035207</v>
      </c>
      <c r="O9" s="7">
        <f>'Double Exponen'!$I$21</f>
        <v>415237.43702082569</v>
      </c>
      <c r="P9" s="7">
        <f>'triple exponen'!$I$21</f>
        <v>409676.24400413712</v>
      </c>
      <c r="Q9" s="7">
        <f>'Konstanta a triple'!$I$21</f>
        <v>503297.10588271613</v>
      </c>
      <c r="R9" s="7">
        <f>'Konstanta b triple'!$I$21</f>
        <v>60698.041884098719</v>
      </c>
      <c r="S9" s="7">
        <f>'Konstanta c triple'!$I$21</f>
        <v>11398.115974594582</v>
      </c>
      <c r="T9" s="7">
        <f>'Peramalan triple'!$I$21</f>
        <v>472213.85019776039</v>
      </c>
      <c r="U9" s="7">
        <f t="shared" si="0"/>
        <v>7.745661546038038</v>
      </c>
      <c r="V9" s="7">
        <f t="shared" si="1"/>
        <v>7.745661546038038</v>
      </c>
      <c r="W9" s="7" t="str">
        <f>'Rekap 0,1'!S9</f>
        <v>Agustus</v>
      </c>
      <c r="X9" s="7">
        <f>kg!$I$7</f>
        <v>31973.26</v>
      </c>
      <c r="Y9" s="7">
        <f>'Single Exponen'!$I$24</f>
        <v>32519.017901823998</v>
      </c>
      <c r="Z9" s="7">
        <f>'Double Exponen'!$I$24</f>
        <v>26942.6510405632</v>
      </c>
      <c r="AA9" s="7">
        <f>'triple exponen'!$I$24</f>
        <v>21073.140493496321</v>
      </c>
      <c r="AB9" s="7">
        <f>'Konstanta a triple'!$I$24</f>
        <v>37802.241077278712</v>
      </c>
      <c r="AC9" s="7">
        <f>'Konstanta b triple'!$I$24</f>
        <v>3261.5766184755234</v>
      </c>
      <c r="AD9" s="7">
        <f>'Konstanta c triple'!$I$24</f>
        <v>-130.2860825804803</v>
      </c>
      <c r="AE9" s="7">
        <f>'Peramalan triple'!$I$24</f>
        <v>58959.283505919979</v>
      </c>
      <c r="AF9" s="7">
        <f t="shared" si="4"/>
        <v>-84.401851753371346</v>
      </c>
      <c r="AG9" s="7">
        <f t="shared" si="5"/>
        <v>84.401851753371346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Exponen'!$J$20</f>
        <v>11818.236637670398</v>
      </c>
      <c r="D10" s="7">
        <f>'Double Exponen'!$J$20</f>
        <v>12080.770239329278</v>
      </c>
      <c r="E10" s="7">
        <f>'triple exponen'!$J$20</f>
        <v>12090.336400917506</v>
      </c>
      <c r="F10" s="7">
        <f>'Konstanta a triple'!$J$20</f>
        <v>11302.73559594086</v>
      </c>
      <c r="G10" s="7">
        <f>'Konstanta b triple'!$J$20</f>
        <v>-568.52730788248869</v>
      </c>
      <c r="H10" s="7">
        <f>'Konstanta c triple'!$J$20</f>
        <v>-112.42997336473493</v>
      </c>
      <c r="I10" s="7">
        <f>'Peramalan triple'!$J$20</f>
        <v>12802.446277504001</v>
      </c>
      <c r="J10" s="7">
        <f t="shared" si="2"/>
        <v>-17.566348265116574</v>
      </c>
      <c r="K10" s="7">
        <f t="shared" si="3"/>
        <v>17.566348265116574</v>
      </c>
      <c r="L10" s="7" t="str">
        <f>'Rekap 0,1'!J10</f>
        <v>September</v>
      </c>
      <c r="M10" s="7">
        <f>kg!$J$4</f>
        <v>513170.2</v>
      </c>
      <c r="N10" s="7">
        <f>'Single Exponen'!$J$21</f>
        <v>473134.71458821127</v>
      </c>
      <c r="O10" s="7">
        <f>'Double Exponen'!$J$21</f>
        <v>438396.34804777987</v>
      </c>
      <c r="P10" s="7">
        <f>'triple exponen'!$J$21</f>
        <v>421164.28562159429</v>
      </c>
      <c r="Q10" s="7">
        <f>'Konstanta a triple'!$J$21</f>
        <v>525379.38524288835</v>
      </c>
      <c r="R10" s="7">
        <f>'Konstanta b triple'!$J$21</f>
        <v>50390.939649114414</v>
      </c>
      <c r="S10" s="7">
        <f>'Konstanta c triple'!$J$21</f>
        <v>7780.5796063314729</v>
      </c>
      <c r="T10" s="7">
        <f>'Peramalan triple'!$J$21</f>
        <v>569694.2057541121</v>
      </c>
      <c r="U10" s="7">
        <f t="shared" si="0"/>
        <v>-11.014670328501555</v>
      </c>
      <c r="V10" s="7">
        <f t="shared" si="1"/>
        <v>11.014670328501555</v>
      </c>
      <c r="W10" s="7" t="str">
        <f>'Rekap 0,1'!S10</f>
        <v>September</v>
      </c>
      <c r="X10" s="7">
        <f>kg!$J$7</f>
        <v>28522.799999999999</v>
      </c>
      <c r="Y10" s="7">
        <f>'Single Exponen'!$J$24</f>
        <v>30920.530741094401</v>
      </c>
      <c r="Z10" s="7">
        <f>'Double Exponen'!$J$24</f>
        <v>28533.802920775681</v>
      </c>
      <c r="AA10" s="7">
        <f>'triple exponen'!$J$24</f>
        <v>24057.405464408068</v>
      </c>
      <c r="AB10" s="7">
        <f>'Konstanta a triple'!$J$24</f>
        <v>31217.588925364216</v>
      </c>
      <c r="AC10" s="7">
        <f>'Konstanta b triple'!$J$24</f>
        <v>-1659.4453314191358</v>
      </c>
      <c r="AD10" s="7">
        <f>'Konstanta c triple'!$J$24</f>
        <v>-928.74206046617496</v>
      </c>
      <c r="AE10" s="7">
        <f>'Peramalan triple'!$J$24</f>
        <v>40998.674654463997</v>
      </c>
      <c r="AF10" s="7">
        <f t="shared" si="4"/>
        <v>-43.740006782167242</v>
      </c>
      <c r="AG10" s="7">
        <f t="shared" si="5"/>
        <v>43.740006782167242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Exponen'!$K$20</f>
        <v>10453.477982602239</v>
      </c>
      <c r="D11" s="7">
        <f>'Double Exponen'!$K$20</f>
        <v>11429.853336638462</v>
      </c>
      <c r="E11" s="7">
        <f>'triple exponen'!$K$20</f>
        <v>11826.143175205889</v>
      </c>
      <c r="F11" s="7">
        <f>'Konstanta a triple'!$K$20</f>
        <v>8897.017113097223</v>
      </c>
      <c r="G11" s="7">
        <f>'Konstanta b triple'!$K$20</f>
        <v>-1553.2721489756054</v>
      </c>
      <c r="H11" s="7">
        <f>'Konstanta c triple'!$K$20</f>
        <v>-257.8157846527983</v>
      </c>
      <c r="I11" s="7">
        <f>'Peramalan triple'!$K$20</f>
        <v>10677.993301376004</v>
      </c>
      <c r="J11" s="7">
        <f t="shared" si="2"/>
        <v>-27.023095679879749</v>
      </c>
      <c r="K11" s="7">
        <f t="shared" si="3"/>
        <v>27.023095679879749</v>
      </c>
      <c r="L11" s="7" t="str">
        <f>'Rekap 0,1'!J11</f>
        <v>Oktober</v>
      </c>
      <c r="M11" s="7">
        <f>kg!$K$4</f>
        <v>525723.46</v>
      </c>
      <c r="N11" s="7">
        <f>'Single Exponen'!$K$21</f>
        <v>494170.21275292675</v>
      </c>
      <c r="O11" s="7">
        <f>'Double Exponen'!$K$21</f>
        <v>460705.89392983861</v>
      </c>
      <c r="P11" s="7">
        <f>'triple exponen'!$K$21</f>
        <v>436980.92894489208</v>
      </c>
      <c r="Q11" s="7">
        <f>'Konstanta a triple'!$K$21</f>
        <v>537373.8854141566</v>
      </c>
      <c r="R11" s="7">
        <f>'Konstanta b triple'!$K$21</f>
        <v>37459.651852501171</v>
      </c>
      <c r="S11" s="7">
        <f>'Konstanta c triple'!$K$21</f>
        <v>4328.6017058407124</v>
      </c>
      <c r="T11" s="7">
        <f>'Peramalan triple'!$K$21</f>
        <v>579660.61469516845</v>
      </c>
      <c r="U11" s="7">
        <f t="shared" si="0"/>
        <v>-10.259605819220715</v>
      </c>
      <c r="V11" s="7">
        <f t="shared" si="1"/>
        <v>10.259605819220715</v>
      </c>
      <c r="W11" s="7" t="str">
        <f>'Rekap 0,1'!S11</f>
        <v>Oktober</v>
      </c>
      <c r="X11" s="7">
        <f>kg!$K$7</f>
        <v>51078.26</v>
      </c>
      <c r="Y11" s="7">
        <f>'Single Exponen'!$K$24</f>
        <v>38983.622444656648</v>
      </c>
      <c r="Z11" s="7">
        <f>'Double Exponen'!$K$24</f>
        <v>32713.730730328069</v>
      </c>
      <c r="AA11" s="7">
        <f>'triple exponen'!$K$24</f>
        <v>27519.93557077607</v>
      </c>
      <c r="AB11" s="7">
        <f>'Konstanta a triple'!$K$24</f>
        <v>46329.610713761809</v>
      </c>
      <c r="AC11" s="7">
        <f>'Konstanta b triple'!$K$24</f>
        <v>5853.8557836492937</v>
      </c>
      <c r="AD11" s="7">
        <f>'Konstanta c triple'!$K$24</f>
        <v>478.26513545625829</v>
      </c>
      <c r="AE11" s="7">
        <f>'Peramalan triple'!$K$24</f>
        <v>29093.772563711995</v>
      </c>
      <c r="AF11" s="7">
        <f t="shared" si="4"/>
        <v>43.040791593699559</v>
      </c>
      <c r="AG11" s="7">
        <f t="shared" si="5"/>
        <v>43.040791593699559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Exponen'!$L$20</f>
        <v>13532.066789561344</v>
      </c>
      <c r="D12" s="7">
        <f>'Double Exponen'!$L$20</f>
        <v>12270.738717807615</v>
      </c>
      <c r="E12" s="7">
        <f>'triple exponen'!$L$20</f>
        <v>12003.98139224658</v>
      </c>
      <c r="F12" s="7">
        <f>'Konstanta a triple'!$L$20</f>
        <v>15787.965607507769</v>
      </c>
      <c r="G12" s="7">
        <f>'Konstanta b triple'!$L$20</f>
        <v>2387.9954308022329</v>
      </c>
      <c r="H12" s="7">
        <f>'Konstanta c triple'!$L$20</f>
        <v>442.03144275230858</v>
      </c>
      <c r="I12" s="7">
        <f>'Peramalan triple'!$L$20</f>
        <v>7214.8370717952184</v>
      </c>
      <c r="J12" s="7">
        <f t="shared" si="2"/>
        <v>60.248722052704174</v>
      </c>
      <c r="K12" s="7">
        <f t="shared" si="3"/>
        <v>60.248722052704174</v>
      </c>
      <c r="L12" s="7" t="str">
        <f>'Rekap 0,1'!J12</f>
        <v>November</v>
      </c>
      <c r="M12" s="7">
        <f>kg!$L$4</f>
        <v>480711.96</v>
      </c>
      <c r="N12" s="7">
        <f>'Single Exponen'!$L$21</f>
        <v>488786.91165175603</v>
      </c>
      <c r="O12" s="7">
        <f>'Double Exponen'!$L$21</f>
        <v>471938.30101860559</v>
      </c>
      <c r="P12" s="7">
        <f>'triple exponen'!$L$21</f>
        <v>450963.87777437759</v>
      </c>
      <c r="Q12" s="7">
        <f>'Konstanta a triple'!$L$21</f>
        <v>501509.70967382868</v>
      </c>
      <c r="R12" s="7">
        <f>'Konstanta b triple'!$L$21</f>
        <v>4814.4763604241116</v>
      </c>
      <c r="S12" s="7">
        <f>'Konstanta c triple'!$L$21</f>
        <v>-1833.6944938122506</v>
      </c>
      <c r="T12" s="7">
        <f>'Peramalan triple'!$L$21</f>
        <v>576997.8381195782</v>
      </c>
      <c r="U12" s="7">
        <f t="shared" si="0"/>
        <v>-20.029848668541174</v>
      </c>
      <c r="V12" s="7">
        <f t="shared" si="1"/>
        <v>20.029848668541174</v>
      </c>
      <c r="W12" s="7" t="str">
        <f>'Rekap 0,1'!S12</f>
        <v>November</v>
      </c>
      <c r="X12" s="7">
        <f>kg!$L$7</f>
        <v>50149.88</v>
      </c>
      <c r="Y12" s="7">
        <f>'Single Exponen'!$L$24</f>
        <v>43450.125466793994</v>
      </c>
      <c r="Z12" s="7">
        <f>'Double Exponen'!$L$24</f>
        <v>37008.288624914436</v>
      </c>
      <c r="AA12" s="7">
        <f>'triple exponen'!$L$24</f>
        <v>31315.276792431421</v>
      </c>
      <c r="AB12" s="7">
        <f>'Konstanta a triple'!$L$24</f>
        <v>50640.787318070099</v>
      </c>
      <c r="AC12" s="7">
        <f>'Konstanta b triple'!$L$24</f>
        <v>5459.3967980921134</v>
      </c>
      <c r="AD12" s="7">
        <f>'Konstanta c triple'!$L$24</f>
        <v>332.81111528735272</v>
      </c>
      <c r="AE12" s="7">
        <f>'Peramalan triple'!$L$24</f>
        <v>52422.599065139228</v>
      </c>
      <c r="AF12" s="7">
        <f t="shared" si="4"/>
        <v>-4.5318534463875695</v>
      </c>
      <c r="AG12" s="7">
        <f t="shared" si="5"/>
        <v>4.5318534463875695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Exponen'!$M$20</f>
        <v>12881.396073736807</v>
      </c>
      <c r="D13" s="7">
        <f>'Double Exponen'!$M$20</f>
        <v>12515.001660179292</v>
      </c>
      <c r="E13" s="7">
        <f>'triple exponen'!$M$20</f>
        <v>12208.389499419667</v>
      </c>
      <c r="F13" s="7">
        <f>'Konstanta a triple'!$M$20</f>
        <v>13307.572740092211</v>
      </c>
      <c r="G13" s="7">
        <f>'Konstanta b triple'!$M$20</f>
        <v>337.25755783506128</v>
      </c>
      <c r="H13" s="7">
        <f>'Konstanta c triple'!$M$20</f>
        <v>26.569890132395415</v>
      </c>
      <c r="I13" s="7">
        <f>'Peramalan triple'!$M$20</f>
        <v>18396.976759686157</v>
      </c>
      <c r="J13" s="7">
        <f t="shared" si="2"/>
        <v>-54.526451965758007</v>
      </c>
      <c r="K13" s="7">
        <f t="shared" si="3"/>
        <v>54.526451965758007</v>
      </c>
      <c r="L13" s="7" t="str">
        <f>'Rekap 0,1'!J13</f>
        <v>Desember</v>
      </c>
      <c r="M13" s="7">
        <f>kg!$M$4</f>
        <v>428532.64</v>
      </c>
      <c r="N13" s="7">
        <f>'Single Exponen'!$M$21</f>
        <v>464685.20299105358</v>
      </c>
      <c r="O13" s="7">
        <f>'Double Exponen'!$M$21</f>
        <v>469037.06180758483</v>
      </c>
      <c r="P13" s="7">
        <f>'triple exponen'!$M$21</f>
        <v>458193.15138766053</v>
      </c>
      <c r="Q13" s="7">
        <f>'Konstanta a triple'!$M$21</f>
        <v>445137.574938067</v>
      </c>
      <c r="R13" s="7">
        <f>'Konstanta b triple'!$M$21</f>
        <v>-26539.102467729375</v>
      </c>
      <c r="S13" s="7">
        <f>'Konstanta c triple'!$M$21</f>
        <v>-6753.6752162024704</v>
      </c>
      <c r="T13" s="7">
        <f>'Peramalan triple'!$M$21</f>
        <v>505407.33878734667</v>
      </c>
      <c r="U13" s="7">
        <f t="shared" si="0"/>
        <v>-17.939053320966789</v>
      </c>
      <c r="V13" s="7">
        <f t="shared" si="1"/>
        <v>17.939053320966789</v>
      </c>
      <c r="W13" s="7" t="str">
        <f>'Rekap 0,1'!S13</f>
        <v>Desember</v>
      </c>
      <c r="X13" s="7">
        <f>kg!$M$7</f>
        <v>42897.42</v>
      </c>
      <c r="Y13" s="7">
        <f>'Single Exponen'!$M$24</f>
        <v>43229.043280076396</v>
      </c>
      <c r="Z13" s="7">
        <f>'Double Exponen'!$M$24</f>
        <v>39496.590486979214</v>
      </c>
      <c r="AA13" s="7">
        <f>'triple exponen'!$M$24</f>
        <v>34587.80227025054</v>
      </c>
      <c r="AB13" s="7">
        <f>'Konstanta a triple'!$M$24</f>
        <v>45785.160649542086</v>
      </c>
      <c r="AC13" s="7">
        <f>'Konstanta b triple'!$M$24</f>
        <v>658.44675863801967</v>
      </c>
      <c r="AD13" s="7">
        <f>'Konstanta c triple'!$M$24</f>
        <v>-522.81574383621864</v>
      </c>
      <c r="AE13" s="7">
        <f>'Peramalan triple'!$M$24</f>
        <v>56266.589673805887</v>
      </c>
      <c r="AF13" s="7">
        <f t="shared" si="4"/>
        <v>-31.165439958407497</v>
      </c>
      <c r="AG13" s="7">
        <f t="shared" si="5"/>
        <v>31.165439958407497</v>
      </c>
    </row>
    <row r="14" spans="1:33" x14ac:dyDescent="0.3">
      <c r="J14" s="7">
        <f>(SUM(J3:J13)/12)</f>
        <v>-21.490680167446808</v>
      </c>
      <c r="K14" s="7">
        <f>(SUM(K3:K13)/12)</f>
        <v>56.543847543100533</v>
      </c>
      <c r="U14" s="7">
        <f>(SUM(U3:U13)/12)</f>
        <v>-8.4589311539044321</v>
      </c>
      <c r="V14" s="7">
        <f>(SUM(V3:V13)/12)</f>
        <v>29.083296453872965</v>
      </c>
      <c r="AF14" s="7">
        <f>(SUM(AF3:AF13)/12)</f>
        <v>-11.990969869341209</v>
      </c>
      <c r="AG14" s="7">
        <f>(SUM(AG3:AG13)/12)</f>
        <v>46.816600733646084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Exponen'!$B$22</f>
        <v>23458.3</v>
      </c>
      <c r="O16" s="7">
        <f>'Double Exponen'!$B$22</f>
        <v>23458.3</v>
      </c>
      <c r="P16" s="7">
        <f>'triple exponen'!$B$22</f>
        <v>23458.3</v>
      </c>
      <c r="Q16" s="7">
        <f>'Konstanta a triple'!$B$22</f>
        <v>23458.3</v>
      </c>
      <c r="R16" s="7">
        <f>'Konstanta b triple'!$B$22</f>
        <v>-8.0843973490926958E-12</v>
      </c>
      <c r="S16" s="7">
        <f>'Konstanta c triple'!$B$22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Exponen'!$C$22</f>
        <v>30961.62</v>
      </c>
      <c r="O17" s="7">
        <f>'Double Exponen'!$C$22</f>
        <v>26459.628000000001</v>
      </c>
      <c r="P17" s="7">
        <f>'triple exponen'!$C$22</f>
        <v>24658.831200000001</v>
      </c>
      <c r="Q17" s="7">
        <f>'Konstanta a triple'!$C$22</f>
        <v>38164.807199999996</v>
      </c>
      <c r="R17" s="7">
        <f>'Konstanta b triple'!$C$22</f>
        <v>7203.1871999999976</v>
      </c>
      <c r="S17" s="7">
        <f>'Konstanta c triple'!$C$22</f>
        <v>1200.5311999999994</v>
      </c>
      <c r="T17" s="7">
        <f>'Peramalan triple'!$C$22</f>
        <v>23458.299999999992</v>
      </c>
      <c r="U17" s="7">
        <f t="shared" ref="U17:U27" si="6">((M17-T17)/M17)*100</f>
        <v>44.433469298806649</v>
      </c>
      <c r="V17" s="7">
        <f t="shared" ref="V17:V27" si="7">ABS((M17-T17)/M17)*100</f>
        <v>44.433469298806649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Exponen'!$D$22</f>
        <v>30077.732</v>
      </c>
      <c r="O18" s="7">
        <f>'Double Exponen'!$D$22</f>
        <v>27906.869599999998</v>
      </c>
      <c r="P18" s="7">
        <f>'triple exponen'!$D$22</f>
        <v>25958.046560000003</v>
      </c>
      <c r="Q18" s="7">
        <f>'Konstanta a triple'!$D$22</f>
        <v>32470.633760000012</v>
      </c>
      <c r="R18" s="7">
        <f>'Konstanta b triple'!$D$22</f>
        <v>1792.6361600000059</v>
      </c>
      <c r="S18" s="7">
        <f>'Konstanta c triple'!$D$22</f>
        <v>98.684160000002748</v>
      </c>
      <c r="T18" s="7">
        <f>'Peramalan triple'!$D$22</f>
        <v>45968.259999999995</v>
      </c>
      <c r="U18" s="7">
        <f t="shared" si="6"/>
        <v>-59.87903408122591</v>
      </c>
      <c r="V18" s="7">
        <f t="shared" si="7"/>
        <v>59.87903408122591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Exponen'!$E$22</f>
        <v>33797.3992</v>
      </c>
      <c r="O19" s="7">
        <f>'Double Exponen'!$E$22</f>
        <v>30263.081439999998</v>
      </c>
      <c r="P19" s="7">
        <f>'triple exponen'!$E$22</f>
        <v>27680.060512000004</v>
      </c>
      <c r="Q19" s="7">
        <f>'Konstanta a triple'!$E$22</f>
        <v>38283.013792000005</v>
      </c>
      <c r="R19" s="7">
        <f>'Konstanta b triple'!$E$22</f>
        <v>3836.0069120000117</v>
      </c>
      <c r="S19" s="7">
        <f>'Konstanta c triple'!$E$22</f>
        <v>422.79859200000334</v>
      </c>
      <c r="T19" s="7">
        <f>'Peramalan triple'!$E$22</f>
        <v>34312.612000000023</v>
      </c>
      <c r="U19" s="7">
        <f t="shared" si="6"/>
        <v>12.861063212187801</v>
      </c>
      <c r="V19" s="7">
        <f t="shared" si="7"/>
        <v>12.861063212187801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Exponen'!$F$22</f>
        <v>29823.079519999999</v>
      </c>
      <c r="O20" s="7">
        <f>'Double Exponen'!$F$22</f>
        <v>30087.080672</v>
      </c>
      <c r="P20" s="7">
        <f>'triple exponen'!$F$22</f>
        <v>28642.868576000004</v>
      </c>
      <c r="Q20" s="7">
        <f>'Konstanta a triple'!$F$22</f>
        <v>27850.865119999999</v>
      </c>
      <c r="R20" s="7">
        <f>'Konstanta b triple'!$F$22</f>
        <v>-2833.2213759999931</v>
      </c>
      <c r="S20" s="7">
        <f>'Konstanta c triple'!$F$22</f>
        <v>-759.20588799999859</v>
      </c>
      <c r="T20" s="7">
        <f>'Peramalan triple'!$F$22</f>
        <v>42330.42000000002</v>
      </c>
      <c r="U20" s="7">
        <f t="shared" si="6"/>
        <v>-77.399755255305692</v>
      </c>
      <c r="V20" s="7">
        <f t="shared" si="7"/>
        <v>77.399755255305692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Exponen'!$G$22</f>
        <v>40780.607711999997</v>
      </c>
      <c r="O21" s="7">
        <f>'Double Exponen'!$G$22</f>
        <v>34364.491488</v>
      </c>
      <c r="P21" s="7">
        <f>'triple exponen'!$G$22</f>
        <v>30931.517740800005</v>
      </c>
      <c r="Q21" s="7">
        <f>'Konstanta a triple'!$G$22</f>
        <v>50179.866412799995</v>
      </c>
      <c r="R21" s="7">
        <f>'Konstanta b triple'!$G$22</f>
        <v>8917.8546688000079</v>
      </c>
      <c r="S21" s="7">
        <f>'Konstanta c triple'!$G$22</f>
        <v>1325.8411008000016</v>
      </c>
      <c r="T21" s="7">
        <f>'Peramalan triple'!$G$22</f>
        <v>24638.040800000006</v>
      </c>
      <c r="U21" s="7">
        <f t="shared" si="6"/>
        <v>56.939224599724895</v>
      </c>
      <c r="V21" s="7">
        <f t="shared" si="7"/>
        <v>56.939224599724895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Exponen'!$H$22</f>
        <v>57963.044627199997</v>
      </c>
      <c r="O22" s="7">
        <f>'Double Exponen'!$H$22</f>
        <v>43803.912743679997</v>
      </c>
      <c r="P22" s="7">
        <f>'triple exponen'!$H$22</f>
        <v>36080.475741952003</v>
      </c>
      <c r="Q22" s="7">
        <f>'Konstanta a triple'!$H$22</f>
        <v>78557.87139251201</v>
      </c>
      <c r="R22" s="7">
        <f>'Konstanta b triple'!$H$22</f>
        <v>19450.502182912023</v>
      </c>
      <c r="S22" s="7">
        <f>'Konstanta c triple'!$H$22</f>
        <v>2860.3088363520033</v>
      </c>
      <c r="T22" s="7">
        <f>'Peramalan triple'!$H$22</f>
        <v>59760.641631999999</v>
      </c>
      <c r="U22" s="7">
        <f t="shared" si="6"/>
        <v>28.632676434586031</v>
      </c>
      <c r="V22" s="7">
        <f t="shared" si="7"/>
        <v>28.632676434586031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Exponen'!$I$22</f>
        <v>56399.106776319997</v>
      </c>
      <c r="O23" s="7">
        <f>'Double Exponen'!$I$22</f>
        <v>48841.990356736002</v>
      </c>
      <c r="P23" s="7">
        <f>'triple exponen'!$I$22</f>
        <v>41185.081587865607</v>
      </c>
      <c r="Q23" s="7">
        <f>'Konstanta a triple'!$I$22</f>
        <v>63856.430846617593</v>
      </c>
      <c r="R23" s="7">
        <f>'Konstanta b triple'!$I$22</f>
        <v>4882.8450697215967</v>
      </c>
      <c r="S23" s="7">
        <f>'Konstanta c triple'!$I$22</f>
        <v>-44.352155238399682</v>
      </c>
      <c r="T23" s="7">
        <f>'Peramalan triple'!$I$22</f>
        <v>99438.52799360003</v>
      </c>
      <c r="U23" s="7">
        <f t="shared" si="6"/>
        <v>-83.964183422258131</v>
      </c>
      <c r="V23" s="7">
        <f t="shared" si="7"/>
        <v>83.964183422258131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Exponen'!$J$22</f>
        <v>38345.264065791998</v>
      </c>
      <c r="O24" s="7">
        <f>'Double Exponen'!$J$22</f>
        <v>44643.299840358399</v>
      </c>
      <c r="P24" s="7">
        <f>'triple exponen'!$J$22</f>
        <v>42568.368888862729</v>
      </c>
      <c r="Q24" s="7">
        <f>'Konstanta a triple'!$J$22</f>
        <v>23674.261565163535</v>
      </c>
      <c r="R24" s="7">
        <f>'Konstanta b triple'!$J$22</f>
        <v>-17223.305423585254</v>
      </c>
      <c r="S24" s="7">
        <f>'Konstanta c triple'!$J$22</f>
        <v>-3721.3185449164762</v>
      </c>
      <c r="T24" s="7">
        <f>'Peramalan triple'!$J$22</f>
        <v>68717.099838719994</v>
      </c>
      <c r="U24" s="7">
        <f t="shared" si="6"/>
        <v>-510.03240124923428</v>
      </c>
      <c r="V24" s="7">
        <f t="shared" si="7"/>
        <v>510.03240124923428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Exponen'!$K$22</f>
        <v>32693.158439475199</v>
      </c>
      <c r="O25" s="7">
        <f>'Double Exponen'!$K$22</f>
        <v>39863.243280005117</v>
      </c>
      <c r="P25" s="7">
        <f>'triple exponen'!$K$22</f>
        <v>41486.318645319683</v>
      </c>
      <c r="Q25" s="7">
        <f>'Konstanta a triple'!$K$22</f>
        <v>19976.064123729928</v>
      </c>
      <c r="R25" s="7">
        <f>'Konstanta b triple'!$K$22</f>
        <v>-13408.737966243831</v>
      </c>
      <c r="S25" s="7">
        <f>'Konstanta c triple'!$K$22</f>
        <v>-2465.3375445401571</v>
      </c>
      <c r="T25" s="7">
        <f>'Peramalan triple'!$K$22</f>
        <v>4590.2968691200431</v>
      </c>
      <c r="U25" s="7">
        <f t="shared" si="6"/>
        <v>81.043580965847426</v>
      </c>
      <c r="V25" s="7">
        <f t="shared" si="7"/>
        <v>81.043580965847426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Exponen'!$L$22</f>
        <v>30360.13506368512</v>
      </c>
      <c r="O26" s="7">
        <f>'Double Exponen'!$L$22</f>
        <v>36061.999993477119</v>
      </c>
      <c r="P26" s="7">
        <f>'triple exponen'!$L$22</f>
        <v>39316.591184582663</v>
      </c>
      <c r="Q26" s="7">
        <f>'Konstanta a triple'!$L$22</f>
        <v>22210.996395206661</v>
      </c>
      <c r="R26" s="7">
        <f>'Konstanta b triple'!$L$22</f>
        <v>-7608.1135467069307</v>
      </c>
      <c r="S26" s="7">
        <f>'Konstanta c triple'!$L$22</f>
        <v>-1087.6772171939797</v>
      </c>
      <c r="T26" s="7">
        <f>'Peramalan triple'!$L$22</f>
        <v>5334.6573852160182</v>
      </c>
      <c r="U26" s="7">
        <f t="shared" si="6"/>
        <v>80.139470506183713</v>
      </c>
      <c r="V26" s="7">
        <f t="shared" si="7"/>
        <v>80.139470506183713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Exponen'!$M$22</f>
        <v>31757.161038211074</v>
      </c>
      <c r="O27" s="7">
        <f>'Double Exponen'!$M$22</f>
        <v>34340.064411370702</v>
      </c>
      <c r="P27" s="7">
        <f>'triple exponen'!$M$22</f>
        <v>37325.980475297882</v>
      </c>
      <c r="Q27" s="7">
        <f>'Konstanta a triple'!$M$22</f>
        <v>29577.270355818982</v>
      </c>
      <c r="R27" s="7">
        <f>'Konstanta b triple'!$M$22</f>
        <v>-1095.0269520235533</v>
      </c>
      <c r="S27" s="7">
        <f>'Konstanta c triple'!$M$22</f>
        <v>179.11675145224504</v>
      </c>
      <c r="T27" s="7">
        <f>'Peramalan triple'!$M$22</f>
        <v>14059.04423990274</v>
      </c>
      <c r="U27" s="7">
        <f t="shared" si="6"/>
        <v>58.469947035531163</v>
      </c>
      <c r="V27" s="7">
        <f t="shared" si="7"/>
        <v>58.469947035531163</v>
      </c>
    </row>
    <row r="28" spans="12:22" x14ac:dyDescent="0.3">
      <c r="U28" s="7">
        <f>(SUM(U17:U27)/12)</f>
        <v>-30.729661829596363</v>
      </c>
      <c r="V28" s="7">
        <f>(SUM(V17:V27)/12)</f>
        <v>91.149567171740998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Exponen'!$B$23</f>
        <v>4698.6499999999996</v>
      </c>
      <c r="O30" s="7">
        <f>'Double Exponen'!$B$23</f>
        <v>4698.6499999999996</v>
      </c>
      <c r="P30" s="7">
        <f>'triple exponen'!$B$23</f>
        <v>4698.6499999999996</v>
      </c>
      <c r="Q30" s="7">
        <f>'Konstanta a triple'!$B$23</f>
        <v>4698.6499999999996</v>
      </c>
      <c r="R30" s="7">
        <f>'Konstanta b triple'!$B$23</f>
        <v>0</v>
      </c>
      <c r="S30" s="7">
        <f>'Konstanta c triple'!$B$23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Exponen'!$C$23</f>
        <v>6277.19</v>
      </c>
      <c r="O31" s="7">
        <f>'Double Exponen'!$C$23</f>
        <v>5330.0659999999998</v>
      </c>
      <c r="P31" s="7">
        <f>'triple exponen'!$C$23</f>
        <v>4951.2164000000002</v>
      </c>
      <c r="Q31" s="7">
        <f>'Konstanta a triple'!$C$23</f>
        <v>7792.5883999999996</v>
      </c>
      <c r="R31" s="7">
        <f>'Konstanta b triple'!$C$23</f>
        <v>1515.3983999999998</v>
      </c>
      <c r="S31" s="7">
        <f>'Konstanta c triple'!$C$23</f>
        <v>252.56640000000016</v>
      </c>
      <c r="T31" s="7">
        <f>'Peramalan triple'!$C$23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Exponen'!$D$23</f>
        <v>6962.0939999999991</v>
      </c>
      <c r="O32" s="7">
        <f>'Double Exponen'!$D$23</f>
        <v>5982.877199999999</v>
      </c>
      <c r="P32" s="7">
        <f>'triple exponen'!$D$23</f>
        <v>5363.8807200000001</v>
      </c>
      <c r="Q32" s="7">
        <f>'Konstanta a triple'!$D$23</f>
        <v>8301.5311200000033</v>
      </c>
      <c r="R32" s="7">
        <f>'Konstanta b triple'!$D$23</f>
        <v>1213.1539200000043</v>
      </c>
      <c r="S32" s="7">
        <f>'Konstanta c triple'!$D$23</f>
        <v>160.09792000000058</v>
      </c>
      <c r="T32" s="7">
        <f>'Peramalan triple'!$D$23</f>
        <v>9434.2699999999986</v>
      </c>
      <c r="U32" s="7">
        <f t="shared" si="8"/>
        <v>-18.084098404771279</v>
      </c>
      <c r="V32" s="7">
        <f t="shared" si="9"/>
        <v>18.084098404771279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Exponen'!$E$23</f>
        <v>6794.6803999999993</v>
      </c>
      <c r="O33" s="7">
        <f>'Double Exponen'!$E$23</f>
        <v>6307.5984799999987</v>
      </c>
      <c r="P33" s="7">
        <f>'triple exponen'!$E$23</f>
        <v>5741.3678240000008</v>
      </c>
      <c r="Q33" s="7">
        <f>'Konstanta a triple'!$E$23</f>
        <v>7202.6135840000061</v>
      </c>
      <c r="R33" s="7">
        <f>'Konstanta b triple'!$E$23</f>
        <v>201.60102400000244</v>
      </c>
      <c r="S33" s="7">
        <f>'Konstanta c triple'!$E$23</f>
        <v>-35.177215999998836</v>
      </c>
      <c r="T33" s="7">
        <f>'Peramalan triple'!$E$23</f>
        <v>9594.7340000000077</v>
      </c>
      <c r="U33" s="7">
        <f t="shared" si="8"/>
        <v>-46.628654738399391</v>
      </c>
      <c r="V33" s="7">
        <f t="shared" si="9"/>
        <v>46.628654738399391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Exponen'!$F$23</f>
        <v>22355.848239999999</v>
      </c>
      <c r="O34" s="7">
        <f>'Double Exponen'!$F$23</f>
        <v>12726.898384</v>
      </c>
      <c r="P34" s="7">
        <f>'triple exponen'!$F$23</f>
        <v>8535.5800480000016</v>
      </c>
      <c r="Q34" s="7">
        <f>'Konstanta a triple'!$F$23</f>
        <v>37422.429616000009</v>
      </c>
      <c r="R34" s="7">
        <f>'Konstanta b triple'!$F$23</f>
        <v>14877.837824000004</v>
      </c>
      <c r="S34" s="7">
        <f>'Konstanta c triple'!$F$23</f>
        <v>2416.725120000001</v>
      </c>
      <c r="T34" s="7">
        <f>'Peramalan triple'!$F$23</f>
        <v>7386.6260000000093</v>
      </c>
      <c r="U34" s="7">
        <f t="shared" si="8"/>
        <v>83.835855712334975</v>
      </c>
      <c r="V34" s="7">
        <f t="shared" si="9"/>
        <v>83.835855712334975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Exponen'!$G$23</f>
        <v>16190.716944</v>
      </c>
      <c r="O35" s="7">
        <f>'Double Exponen'!$G$23</f>
        <v>14112.425808</v>
      </c>
      <c r="P35" s="7">
        <f>'triple exponen'!$G$23</f>
        <v>10766.318352000002</v>
      </c>
      <c r="Q35" s="7">
        <f>'Konstanta a triple'!$G$23</f>
        <v>17001.191760000002</v>
      </c>
      <c r="R35" s="7">
        <f>'Konstanta b triple'!$G$23</f>
        <v>-586.63129599999388</v>
      </c>
      <c r="S35" s="7">
        <f>'Konstanta c triple'!$G$23</f>
        <v>-563.47391999999923</v>
      </c>
      <c r="T35" s="7">
        <f>'Peramalan triple'!$G$23</f>
        <v>53508.630000000012</v>
      </c>
      <c r="U35" s="7">
        <f t="shared" si="8"/>
        <v>-670.68235436452744</v>
      </c>
      <c r="V35" s="7">
        <f t="shared" si="9"/>
        <v>670.68235436452744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Exponen'!$H$23</f>
        <v>13165.5141664</v>
      </c>
      <c r="O36" s="7">
        <f>'Double Exponen'!$H$23</f>
        <v>13733.66115136</v>
      </c>
      <c r="P36" s="7">
        <f>'triple exponen'!$H$23</f>
        <v>11953.255471744003</v>
      </c>
      <c r="Q36" s="7">
        <f>'Konstanta a triple'!$H$23</f>
        <v>10248.814516864008</v>
      </c>
      <c r="R36" s="7">
        <f>'Konstanta b triple'!$H$23</f>
        <v>-4032.0688015359906</v>
      </c>
      <c r="S36" s="7">
        <f>'Konstanta c triple'!$H$23</f>
        <v>-1043.8011842559986</v>
      </c>
      <c r="T36" s="7">
        <f>'Peramalan triple'!$H$23</f>
        <v>16132.823504000009</v>
      </c>
      <c r="U36" s="7">
        <f t="shared" si="8"/>
        <v>-86.988476710506163</v>
      </c>
      <c r="V36" s="7">
        <f t="shared" si="9"/>
        <v>86.988476710506163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Exponen'!$I$23</f>
        <v>14776.908499839999</v>
      </c>
      <c r="O37" s="7">
        <f>'Double Exponen'!$I$23</f>
        <v>14150.960090752</v>
      </c>
      <c r="P37" s="7">
        <f>'triple exponen'!$I$23</f>
        <v>12832.337319347203</v>
      </c>
      <c r="Q37" s="7">
        <f>'Konstanta a triple'!$I$23</f>
        <v>14710.182546611202</v>
      </c>
      <c r="R37" s="7">
        <f>'Konstanta b triple'!$I$23</f>
        <v>-660.19451310079603</v>
      </c>
      <c r="S37" s="7">
        <f>'Konstanta c triple'!$I$23</f>
        <v>-307.8552721407986</v>
      </c>
      <c r="T37" s="7">
        <f>'Peramalan triple'!$I$23</f>
        <v>5694.845123200018</v>
      </c>
      <c r="U37" s="7">
        <f t="shared" si="8"/>
        <v>66.878881451669088</v>
      </c>
      <c r="V37" s="7">
        <f t="shared" si="9"/>
        <v>66.878881451669088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Exponen'!$J$23</f>
        <v>15762.945099903998</v>
      </c>
      <c r="O38" s="7">
        <f>'Double Exponen'!$J$23</f>
        <v>14795.7540944128</v>
      </c>
      <c r="P38" s="7">
        <f>'triple exponen'!$J$23</f>
        <v>13617.704029373443</v>
      </c>
      <c r="Q38" s="7">
        <f>'Konstanta a triple'!$J$23</f>
        <v>16519.277045847037</v>
      </c>
      <c r="R38" s="7">
        <f>'Konstanta b triple'!$J$23</f>
        <v>316.79102214144223</v>
      </c>
      <c r="S38" s="7">
        <f>'Konstanta c triple'!$J$23</f>
        <v>-93.715137576959251</v>
      </c>
      <c r="T38" s="7">
        <f>'Peramalan triple'!$J$23</f>
        <v>13896.060397440007</v>
      </c>
      <c r="U38" s="7">
        <f t="shared" si="8"/>
        <v>19.405751087808795</v>
      </c>
      <c r="V38" s="7">
        <f t="shared" si="9"/>
        <v>19.405751087808795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Exponen'!$K$23</f>
        <v>23524.647059942399</v>
      </c>
      <c r="O39" s="7">
        <f>'Double Exponen'!$K$23</f>
        <v>18287.311280624639</v>
      </c>
      <c r="P39" s="7">
        <f>'triple exponen'!$K$23</f>
        <v>15485.546929873923</v>
      </c>
      <c r="Q39" s="7">
        <f>'Konstanta a triple'!$K$23</f>
        <v>31197.554267827207</v>
      </c>
      <c r="R39" s="7">
        <f>'Konstanta b triple'!$K$23</f>
        <v>7280.2238528716898</v>
      </c>
      <c r="S39" s="7">
        <f>'Konstanta c triple'!$K$23</f>
        <v>1082.4761904742418</v>
      </c>
      <c r="T39" s="7">
        <f>'Peramalan triple'!$K$23</f>
        <v>16789.210499199999</v>
      </c>
      <c r="U39" s="7">
        <f t="shared" si="8"/>
        <v>52.258893232330131</v>
      </c>
      <c r="V39" s="7">
        <f t="shared" si="9"/>
        <v>52.258893232330131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Exponen'!$L$23</f>
        <v>16732.14823596544</v>
      </c>
      <c r="O40" s="7">
        <f>'Double Exponen'!$L$23</f>
        <v>17665.246062760962</v>
      </c>
      <c r="P40" s="7">
        <f>'triple exponen'!$L$23</f>
        <v>16357.42658302874</v>
      </c>
      <c r="Q40" s="7">
        <f>'Konstanta a triple'!$L$23</f>
        <v>13558.133102642176</v>
      </c>
      <c r="R40" s="7">
        <f>'Konstanta b triple'!$L$23</f>
        <v>-4107.9365835735052</v>
      </c>
      <c r="S40" s="7">
        <f>'Konstanta c triple'!$L$23</f>
        <v>-995.9632473456636</v>
      </c>
      <c r="T40" s="7">
        <f>'Peramalan triple'!$L$23</f>
        <v>39019.016215936019</v>
      </c>
      <c r="U40" s="7">
        <f t="shared" si="8"/>
        <v>-496.31103426255498</v>
      </c>
      <c r="V40" s="7">
        <f t="shared" si="9"/>
        <v>496.31103426255498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Exponen'!$M$23</f>
        <v>13399.904941579263</v>
      </c>
      <c r="O41" s="7">
        <f>'Double Exponen'!$M$23</f>
        <v>15959.109614288282</v>
      </c>
      <c r="P41" s="7">
        <f>'triple exponen'!$M$23</f>
        <v>16198.099795532558</v>
      </c>
      <c r="Q41" s="7">
        <f>'Konstanta a triple'!$M$23</f>
        <v>8520.4857774055054</v>
      </c>
      <c r="R41" s="7">
        <f>'Konstanta b triple'!$M$23</f>
        <v>-5315.3589907511687</v>
      </c>
      <c r="S41" s="7">
        <f>'Konstanta c triple'!$M$23</f>
        <v>-1031.2064406509971</v>
      </c>
      <c r="T41" s="7">
        <f>'Peramalan triple'!$M$23</f>
        <v>8952.2148953958404</v>
      </c>
      <c r="U41" s="7">
        <f t="shared" si="8"/>
        <v>-6.554451867108166</v>
      </c>
      <c r="V41" s="7">
        <f t="shared" si="9"/>
        <v>6.554451867108166</v>
      </c>
    </row>
    <row r="42" spans="12:22" x14ac:dyDescent="0.3">
      <c r="U42" s="7">
        <f>(SUM(U31:U41)/12)</f>
        <v>-88.101729903864452</v>
      </c>
      <c r="V42" s="7">
        <f>(SUM(V31:V41)/12)</f>
        <v>132.77311515411347</v>
      </c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8D7DB-5999-4242-A38C-9A123D10B56C}">
  <dimension ref="A1:AG42"/>
  <sheetViews>
    <sheetView topLeftCell="E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6" width="9.44140625" style="6" bestFit="1" customWidth="1"/>
    <col min="7" max="7" width="9.109375" style="6" bestFit="1" customWidth="1"/>
    <col min="8" max="8" width="8.44140625" style="6" bestFit="1" customWidth="1"/>
    <col min="9" max="9" width="9.44140625" style="6" bestFit="1" customWidth="1"/>
    <col min="10" max="10" width="7.109375" style="6" bestFit="1" customWidth="1"/>
    <col min="11" max="11" width="6.44140625" style="6" bestFit="1" customWidth="1"/>
    <col min="12" max="12" width="13.6640625" style="6" bestFit="1" customWidth="1"/>
    <col min="13" max="17" width="9.44140625" style="6" bestFit="1" customWidth="1"/>
    <col min="18" max="19" width="9.109375" style="6" bestFit="1" customWidth="1"/>
    <col min="20" max="20" width="9.44140625" style="6" bestFit="1" customWidth="1"/>
    <col min="21" max="21" width="7.109375" style="6" bestFit="1" customWidth="1"/>
    <col min="22" max="22" width="6.44140625" style="6" bestFit="1" customWidth="1"/>
    <col min="23" max="23" width="14.109375" style="6" bestFit="1" customWidth="1"/>
    <col min="24" max="28" width="8.44140625" style="6" bestFit="1" customWidth="1"/>
    <col min="29" max="29" width="9.109375" style="6" bestFit="1" customWidth="1"/>
    <col min="30" max="30" width="8.109375" style="6" bestFit="1" customWidth="1"/>
    <col min="31" max="31" width="8.44140625" style="6" bestFit="1" customWidth="1"/>
    <col min="32" max="32" width="7.109375" style="6" bestFit="1" customWidth="1"/>
    <col min="33" max="33" width="6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Exponen'!$B$26</f>
        <v>12588.09</v>
      </c>
      <c r="D2" s="7">
        <f>'Double Exponen'!$B$26</f>
        <v>12588.09</v>
      </c>
      <c r="E2" s="7">
        <f>'triple exponen'!$B$26</f>
        <v>12588.09</v>
      </c>
      <c r="F2" s="7">
        <f>'Konstanta a triple'!$B$26</f>
        <v>12588.09</v>
      </c>
      <c r="G2" s="7">
        <f>'Konstanta b triple'!$B$26</f>
        <v>-7.2759576141834259E-12</v>
      </c>
      <c r="H2" s="7">
        <f>'Konstanta c triple'!$B$26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Exponen'!$B$27</f>
        <v>459915.78</v>
      </c>
      <c r="O2" s="7">
        <f>'Double Exponen'!$B$27</f>
        <v>459915.78</v>
      </c>
      <c r="P2" s="7">
        <f>'triple exponen'!$B$27</f>
        <v>459915.78</v>
      </c>
      <c r="Q2" s="7">
        <f>'Konstanta a triple'!$B$27</f>
        <v>459915.78</v>
      </c>
      <c r="R2" s="7">
        <f>'Konstanta b triple'!$B$27</f>
        <v>0</v>
      </c>
      <c r="S2" s="7">
        <f>'Konstanta c triple'!$B$27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Exponen'!$B$30</f>
        <v>1033.08</v>
      </c>
      <c r="Z2" s="7">
        <f>'Double Exponen'!$B$30</f>
        <v>1033.08</v>
      </c>
      <c r="AA2" s="7">
        <f>'triple exponen'!$B$30</f>
        <v>1033.08</v>
      </c>
      <c r="AB2" s="7">
        <f>'Konstanta a triple'!$B$30</f>
        <v>1033.08</v>
      </c>
      <c r="AC2" s="7">
        <f>'Konstanta b triple'!$B$30</f>
        <v>0</v>
      </c>
      <c r="AD2" s="7">
        <f>'Konstanta c triple'!$B$30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Exponen'!$C$26</f>
        <v>8688.92</v>
      </c>
      <c r="D3" s="7">
        <f>'Double Exponen'!$C$26</f>
        <v>10638.505000000001</v>
      </c>
      <c r="E3" s="7">
        <f>'triple exponen'!$C$26</f>
        <v>11613.297500000002</v>
      </c>
      <c r="F3" s="7">
        <f>'Konstanta a triple'!$C$26</f>
        <v>5764.5425000000014</v>
      </c>
      <c r="G3" s="7">
        <f>'Konstanta b triple'!$C$26</f>
        <v>-4386.5662499999999</v>
      </c>
      <c r="H3" s="7">
        <f>'Konstanta c triple'!$C$26</f>
        <v>-974.79249999999956</v>
      </c>
      <c r="I3" s="7">
        <f>'Peramalan triple'!$C$26</f>
        <v>12588.089999999993</v>
      </c>
      <c r="J3" s="7">
        <f>((B3-I3)/B3)*100</f>
        <v>-162.81309045357258</v>
      </c>
      <c r="K3" s="7">
        <f>ABS((B3-I3)/B3)*100</f>
        <v>162.81309045357258</v>
      </c>
      <c r="L3" s="7" t="str">
        <f>'Rekap 0,1'!J3</f>
        <v>Februari</v>
      </c>
      <c r="M3" s="7">
        <f>kg!$C$4</f>
        <v>397220.76</v>
      </c>
      <c r="N3" s="7">
        <f>'Single Exponen'!$C$27</f>
        <v>428568.27</v>
      </c>
      <c r="O3" s="7">
        <f>'Double Exponen'!$C$27</f>
        <v>444242.02500000002</v>
      </c>
      <c r="P3" s="7">
        <f>'triple exponen'!$C$27</f>
        <v>452078.90250000008</v>
      </c>
      <c r="Q3" s="7">
        <f>'Konstanta a triple'!$C$27</f>
        <v>405057.63749999995</v>
      </c>
      <c r="R3" s="7">
        <f>'Konstanta b triple'!$C$27</f>
        <v>-35265.948750000214</v>
      </c>
      <c r="S3" s="7">
        <f>'Konstanta c triple'!$C$27</f>
        <v>-7836.8774999999441</v>
      </c>
      <c r="T3" s="7">
        <f>'Peramalan triple'!$C$27</f>
        <v>459915.78</v>
      </c>
      <c r="U3" s="7">
        <f t="shared" ref="U3:U13" si="0">((M3-T3)/M3)*100</f>
        <v>-15.783419778966239</v>
      </c>
      <c r="V3" s="7">
        <f t="shared" ref="V3:V13" si="1">ABS((M3-T3)/M3)*100</f>
        <v>15.783419778966239</v>
      </c>
      <c r="W3" s="7" t="str">
        <f>'Rekap 0,1'!S3</f>
        <v>Februari</v>
      </c>
      <c r="X3" s="7">
        <f>kg!$C$7</f>
        <v>25477.94</v>
      </c>
      <c r="Y3" s="7">
        <f>'Single Exponen'!$C$30</f>
        <v>13255.509999999998</v>
      </c>
      <c r="Z3" s="7">
        <f>'Double Exponen'!$C$30</f>
        <v>7144.2949999999992</v>
      </c>
      <c r="AA3" s="7">
        <f>'triple exponen'!$C$30</f>
        <v>4088.6874999999995</v>
      </c>
      <c r="AB3" s="7">
        <f>'Konstanta a triple'!$C$30</f>
        <v>22422.3325</v>
      </c>
      <c r="AC3" s="7">
        <f>'Konstanta b triple'!$C$30</f>
        <v>13750.233749999998</v>
      </c>
      <c r="AD3" s="7">
        <f>'Konstanta c triple'!$C$30</f>
        <v>3055.6074999999996</v>
      </c>
      <c r="AE3" s="7">
        <f>'Peramalan triple'!$C$30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Exponen'!$D$26</f>
        <v>14857.380000000001</v>
      </c>
      <c r="D4" s="7">
        <f>'Double Exponen'!$D$26</f>
        <v>12747.942500000001</v>
      </c>
      <c r="E4" s="7">
        <f>'triple exponen'!$D$26</f>
        <v>12180.620000000003</v>
      </c>
      <c r="F4" s="7">
        <f>'Konstanta a triple'!$D$26</f>
        <v>18508.932500000003</v>
      </c>
      <c r="G4" s="7">
        <f>'Konstanta b triple'!$D$26</f>
        <v>5964.7250000000095</v>
      </c>
      <c r="H4" s="7">
        <f>'Konstanta c triple'!$D$26</f>
        <v>1542.1150000000016</v>
      </c>
      <c r="I4" s="7">
        <f>'Peramalan triple'!$D$26</f>
        <v>890.58000000000175</v>
      </c>
      <c r="J4" s="7">
        <f t="shared" ref="J4:J13" si="2">((B4-I4)/B4)*100</f>
        <v>95.764354717813887</v>
      </c>
      <c r="K4" s="7">
        <f t="shared" ref="K4:K13" si="3">ABS((B4-I4)/B4)*100</f>
        <v>95.764354717813887</v>
      </c>
      <c r="L4" s="7" t="str">
        <f>'Rekap 0,1'!J4</f>
        <v>Maret</v>
      </c>
      <c r="M4" s="7">
        <f>kg!$D$4</f>
        <v>389238.98</v>
      </c>
      <c r="N4" s="7">
        <f>'Single Exponen'!$D$27</f>
        <v>408903.625</v>
      </c>
      <c r="O4" s="7">
        <f>'Double Exponen'!$D$27</f>
        <v>426572.82500000001</v>
      </c>
      <c r="P4" s="7">
        <f>'triple exponen'!$D$27</f>
        <v>439325.86375000014</v>
      </c>
      <c r="Q4" s="7">
        <f>'Konstanta a triple'!$D$27</f>
        <v>386318.26375000004</v>
      </c>
      <c r="R4" s="7">
        <f>'Konstanta b triple'!$D$27</f>
        <v>-29959.603124999907</v>
      </c>
      <c r="S4" s="7">
        <f>'Konstanta c triple'!$D$27</f>
        <v>-4916.1612499998882</v>
      </c>
      <c r="T4" s="7">
        <f>'Peramalan triple'!$D$27</f>
        <v>365873.24999999977</v>
      </c>
      <c r="U4" s="7">
        <f t="shared" si="0"/>
        <v>6.0029265311506608</v>
      </c>
      <c r="V4" s="7">
        <f t="shared" si="1"/>
        <v>6.0029265311506608</v>
      </c>
      <c r="W4" s="7" t="str">
        <f>'Rekap 0,1'!S4</f>
        <v>Maret</v>
      </c>
      <c r="X4" s="7">
        <f>kg!$D$7</f>
        <v>19497.02</v>
      </c>
      <c r="Y4" s="7">
        <f>'Single Exponen'!$D$30</f>
        <v>16376.264999999999</v>
      </c>
      <c r="Z4" s="7">
        <f>'Double Exponen'!$D$30</f>
        <v>11760.279999999999</v>
      </c>
      <c r="AA4" s="7">
        <f>'triple exponen'!$D$30</f>
        <v>7924.4837499999994</v>
      </c>
      <c r="AB4" s="7">
        <f>'Konstanta a triple'!$D$30</f>
        <v>21772.438750000001</v>
      </c>
      <c r="AC4" s="7">
        <f>'Konstanta b triple'!$D$30</f>
        <v>6566.4568750000035</v>
      </c>
      <c r="AD4" s="7">
        <f>'Konstanta c triple'!$D$30</f>
        <v>780.18875000000116</v>
      </c>
      <c r="AE4" s="7">
        <f>'Peramalan triple'!$D$30</f>
        <v>37700.369999999995</v>
      </c>
      <c r="AF4" s="7">
        <f t="shared" ref="AF4:AF13" si="4">((X4-AE4)/X4)*100</f>
        <v>-93.364780874205366</v>
      </c>
      <c r="AG4" s="7">
        <f t="shared" ref="AG4:AG13" si="5">ABS((X4-AE4)/X4)*100</f>
        <v>93.364780874205366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Exponen'!$E$26</f>
        <v>12979.174999999999</v>
      </c>
      <c r="D5" s="7">
        <f>'Double Exponen'!$E$26</f>
        <v>12863.55875</v>
      </c>
      <c r="E5" s="7">
        <f>'triple exponen'!$E$26</f>
        <v>12522.089375000003</v>
      </c>
      <c r="F5" s="7">
        <f>'Konstanta a triple'!$E$26</f>
        <v>12868.938124999993</v>
      </c>
      <c r="G5" s="7">
        <f>'Konstanta b triple'!$E$26</f>
        <v>-449.01656250000451</v>
      </c>
      <c r="H5" s="7">
        <f>'Konstanta c triple'!$E$26</f>
        <v>-225.85312499999782</v>
      </c>
      <c r="I5" s="7">
        <f>'Peramalan triple'!$E$26</f>
        <v>25244.715000000011</v>
      </c>
      <c r="J5" s="7">
        <f t="shared" si="2"/>
        <v>-127.40999209978958</v>
      </c>
      <c r="K5" s="7">
        <f t="shared" si="3"/>
        <v>127.40999209978958</v>
      </c>
      <c r="L5" s="7" t="str">
        <f>'Rekap 0,1'!J5</f>
        <v>April</v>
      </c>
      <c r="M5" s="7">
        <f>kg!$E$4</f>
        <v>505904.1</v>
      </c>
      <c r="N5" s="7">
        <f>'Single Exponen'!$E$27</f>
        <v>457403.86249999999</v>
      </c>
      <c r="O5" s="7">
        <f>'Double Exponen'!$E$27</f>
        <v>441988.34375</v>
      </c>
      <c r="P5" s="7">
        <f>'triple exponen'!$E$27</f>
        <v>440657.10375000013</v>
      </c>
      <c r="Q5" s="7">
        <f>'Konstanta a triple'!$E$27</f>
        <v>486903.66000000003</v>
      </c>
      <c r="R5" s="7">
        <f>'Konstanta b triple'!$E$27</f>
        <v>50626.215625000419</v>
      </c>
      <c r="S5" s="7">
        <f>'Konstanta c triple'!$E$27</f>
        <v>14084.278750000114</v>
      </c>
      <c r="T5" s="7">
        <f>'Peramalan triple'!$E$27</f>
        <v>353900.58000000019</v>
      </c>
      <c r="U5" s="7">
        <f t="shared" si="0"/>
        <v>30.045915816851416</v>
      </c>
      <c r="V5" s="7">
        <f t="shared" si="1"/>
        <v>30.045915816851416</v>
      </c>
      <c r="W5" s="7" t="str">
        <f>'Rekap 0,1'!S5</f>
        <v>April</v>
      </c>
      <c r="X5" s="7">
        <f>kg!$E$7</f>
        <v>18855.900000000001</v>
      </c>
      <c r="Y5" s="7">
        <f>'Single Exponen'!$E$30</f>
        <v>17616.0825</v>
      </c>
      <c r="Z5" s="7">
        <f>'Double Exponen'!$E$30</f>
        <v>14688.18125</v>
      </c>
      <c r="AA5" s="7">
        <f>'triple exponen'!$E$30</f>
        <v>11306.3325</v>
      </c>
      <c r="AB5" s="7">
        <f>'Konstanta a triple'!$E$30</f>
        <v>20090.036250000001</v>
      </c>
      <c r="AC5" s="7">
        <f>'Konstanta b triple'!$E$30</f>
        <v>1793.0325000000084</v>
      </c>
      <c r="AD5" s="7">
        <f>'Konstanta c triple'!$E$30</f>
        <v>-453.9474999999984</v>
      </c>
      <c r="AE5" s="7">
        <f>'Peramalan triple'!$E$30</f>
        <v>28728.990000000005</v>
      </c>
      <c r="AF5" s="7">
        <f t="shared" si="4"/>
        <v>-52.36074650374686</v>
      </c>
      <c r="AG5" s="7">
        <f t="shared" si="5"/>
        <v>52.36074650374686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Exponen'!$F$26</f>
        <v>11037.4175</v>
      </c>
      <c r="D6" s="7">
        <f>'Double Exponen'!$F$26</f>
        <v>11950.488125</v>
      </c>
      <c r="E6" s="7">
        <f>'triple exponen'!$F$26</f>
        <v>12236.288750000003</v>
      </c>
      <c r="F6" s="7">
        <f>'Konstanta a triple'!$F$26</f>
        <v>9497.0768750000097</v>
      </c>
      <c r="G6" s="7">
        <f>'Konstanta b triple'!$F$26</f>
        <v>-2481.2456249999814</v>
      </c>
      <c r="H6" s="7">
        <f>'Konstanta c triple'!$F$26</f>
        <v>-627.2699999999968</v>
      </c>
      <c r="I6" s="7">
        <f>'Peramalan triple'!$F$26</f>
        <v>12306.99499999999</v>
      </c>
      <c r="J6" s="7">
        <f t="shared" si="2"/>
        <v>-35.306233962131287</v>
      </c>
      <c r="K6" s="7">
        <f t="shared" si="3"/>
        <v>35.306233962131287</v>
      </c>
      <c r="L6" s="7" t="str">
        <f>'Rekap 0,1'!J6</f>
        <v>Mei</v>
      </c>
      <c r="M6" s="7">
        <f>kg!$F$4</f>
        <v>201079.58</v>
      </c>
      <c r="N6" s="7">
        <f>'Single Exponen'!$F$27</f>
        <v>329241.72125</v>
      </c>
      <c r="O6" s="7">
        <f>'Double Exponen'!$F$27</f>
        <v>385615.03249999997</v>
      </c>
      <c r="P6" s="7">
        <f>'triple exponen'!$F$27</f>
        <v>413136.06812500011</v>
      </c>
      <c r="Q6" s="7">
        <f>'Konstanta a triple'!$F$27</f>
        <v>244016.13437500026</v>
      </c>
      <c r="R6" s="7">
        <f>'Konstanta b triple'!$F$27</f>
        <v>-128504.00031249947</v>
      </c>
      <c r="S6" s="7">
        <f>'Konstanta c triple'!$F$27</f>
        <v>-28852.275624999835</v>
      </c>
      <c r="T6" s="7">
        <f>'Peramalan triple'!$F$27</f>
        <v>544572.01500000048</v>
      </c>
      <c r="U6" s="7">
        <f t="shared" si="0"/>
        <v>-170.82412595053188</v>
      </c>
      <c r="V6" s="7">
        <f t="shared" si="1"/>
        <v>170.82412595053188</v>
      </c>
      <c r="W6" s="7" t="str">
        <f>'Rekap 0,1'!S6</f>
        <v>Mei</v>
      </c>
      <c r="X6" s="7">
        <f>kg!$F$7</f>
        <v>26851.599999999999</v>
      </c>
      <c r="Y6" s="7">
        <f>'Single Exponen'!$F$30</f>
        <v>22233.841249999998</v>
      </c>
      <c r="Z6" s="7">
        <f>'Double Exponen'!$F$30</f>
        <v>18461.01125</v>
      </c>
      <c r="AA6" s="7">
        <f>'triple exponen'!$F$30</f>
        <v>14883.671875</v>
      </c>
      <c r="AB6" s="7">
        <f>'Konstanta a triple'!$F$30</f>
        <v>26202.161874999991</v>
      </c>
      <c r="AC6" s="7">
        <f>'Konstanta b triple'!$F$30</f>
        <v>4261.5565624999872</v>
      </c>
      <c r="AD6" s="7">
        <f>'Konstanta c triple'!$F$30</f>
        <v>195.49062499999854</v>
      </c>
      <c r="AE6" s="7">
        <f>'Peramalan triple'!$F$30</f>
        <v>21656.095000000008</v>
      </c>
      <c r="AF6" s="7">
        <f t="shared" si="4"/>
        <v>19.348958721267969</v>
      </c>
      <c r="AG6" s="7">
        <f t="shared" si="5"/>
        <v>19.348958721267969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Exponen'!$G$26</f>
        <v>9611.3887500000001</v>
      </c>
      <c r="D7" s="7">
        <f>'Double Exponen'!$G$26</f>
        <v>10780.938437500001</v>
      </c>
      <c r="E7" s="7">
        <f>'triple exponen'!$G$26</f>
        <v>11508.613593750004</v>
      </c>
      <c r="F7" s="7">
        <f>'Konstanta a triple'!$G$26</f>
        <v>7999.9645312500033</v>
      </c>
      <c r="G7" s="7">
        <f>'Konstanta b triple'!$G$26</f>
        <v>-2274.2360156249924</v>
      </c>
      <c r="H7" s="7">
        <f>'Konstanta c triple'!$G$26</f>
        <v>-441.87453124999774</v>
      </c>
      <c r="I7" s="7">
        <f>'Peramalan triple'!$G$26</f>
        <v>6702.19625000003</v>
      </c>
      <c r="J7" s="7">
        <f t="shared" si="2"/>
        <v>18.119713121963724</v>
      </c>
      <c r="K7" s="7">
        <f t="shared" si="3"/>
        <v>18.119713121963724</v>
      </c>
      <c r="L7" s="7" t="str">
        <f>'Rekap 0,1'!J7</f>
        <v>Juni</v>
      </c>
      <c r="M7" s="7">
        <f>kg!$G$4</f>
        <v>378271.8</v>
      </c>
      <c r="N7" s="7">
        <f>'Single Exponen'!$G$27</f>
        <v>353756.760625</v>
      </c>
      <c r="O7" s="7">
        <f>'Double Exponen'!$G$27</f>
        <v>369685.89656249998</v>
      </c>
      <c r="P7" s="7">
        <f>'triple exponen'!$G$27</f>
        <v>391410.98234375007</v>
      </c>
      <c r="Q7" s="7">
        <f>'Konstanta a triple'!$G$27</f>
        <v>343623.57453124993</v>
      </c>
      <c r="R7" s="7">
        <f>'Konstanta b triple'!$G$27</f>
        <v>-1439.2613281249069</v>
      </c>
      <c r="S7" s="7">
        <f>'Konstanta c triple'!$G$27</f>
        <v>5795.9498437501024</v>
      </c>
      <c r="T7" s="7">
        <f>'Peramalan triple'!$G$27</f>
        <v>101085.99625000087</v>
      </c>
      <c r="U7" s="7">
        <f t="shared" si="0"/>
        <v>73.27688813969192</v>
      </c>
      <c r="V7" s="7">
        <f t="shared" si="1"/>
        <v>73.27688813969192</v>
      </c>
      <c r="W7" s="7" t="str">
        <f>'Rekap 0,1'!S7</f>
        <v>Juni</v>
      </c>
      <c r="X7" s="7">
        <f>kg!$G$7</f>
        <v>17468.29</v>
      </c>
      <c r="Y7" s="7">
        <f>'Single Exponen'!$G$30</f>
        <v>19851.065624999999</v>
      </c>
      <c r="Z7" s="7">
        <f>'Double Exponen'!$G$30</f>
        <v>19156.038437499999</v>
      </c>
      <c r="AA7" s="7">
        <f>'triple exponen'!$G$30</f>
        <v>17019.85515625</v>
      </c>
      <c r="AB7" s="7">
        <f>'Konstanta a triple'!$G$30</f>
        <v>19104.936718749996</v>
      </c>
      <c r="AC7" s="7">
        <f>'Konstanta b triple'!$G$30</f>
        <v>-2907.8630468749907</v>
      </c>
      <c r="AD7" s="7">
        <f>'Konstanta c triple'!$G$30</f>
        <v>-1441.1560937499999</v>
      </c>
      <c r="AE7" s="7">
        <f>'Peramalan triple'!$G$30</f>
        <v>30561.463749999977</v>
      </c>
      <c r="AF7" s="7">
        <f t="shared" si="4"/>
        <v>-74.953952275809343</v>
      </c>
      <c r="AG7" s="7">
        <f t="shared" si="5"/>
        <v>74.953952275809343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Exponen'!$H$26</f>
        <v>13938.394375</v>
      </c>
      <c r="D8" s="7">
        <f>'Double Exponen'!$H$26</f>
        <v>12359.66640625</v>
      </c>
      <c r="E8" s="7">
        <f>'triple exponen'!$H$26</f>
        <v>11934.140000000003</v>
      </c>
      <c r="F8" s="7">
        <f>'Konstanta a triple'!$H$26</f>
        <v>16670.323906249996</v>
      </c>
      <c r="G8" s="7">
        <f>'Konstanta b triple'!$H$26</f>
        <v>4461.7318749999977</v>
      </c>
      <c r="H8" s="7">
        <f>'Konstanta c triple'!$H$26</f>
        <v>1153.2015625000022</v>
      </c>
      <c r="I8" s="7">
        <f>'Peramalan triple'!$H$26</f>
        <v>5504.791250000012</v>
      </c>
      <c r="J8" s="7">
        <f t="shared" si="2"/>
        <v>69.862191630076467</v>
      </c>
      <c r="K8" s="7">
        <f t="shared" si="3"/>
        <v>69.862191630076467</v>
      </c>
      <c r="L8" s="7" t="str">
        <f>'Rekap 0,1'!J8</f>
        <v>Juli</v>
      </c>
      <c r="M8" s="7">
        <f>kg!$H$4</f>
        <v>463478.68</v>
      </c>
      <c r="N8" s="7">
        <f>'Single Exponen'!$H$27</f>
        <v>408617.72031250002</v>
      </c>
      <c r="O8" s="7">
        <f>'Double Exponen'!$H$27</f>
        <v>389151.80843750003</v>
      </c>
      <c r="P8" s="7">
        <f>'triple exponen'!$H$27</f>
        <v>390281.39539062511</v>
      </c>
      <c r="Q8" s="7">
        <f>'Konstanta a triple'!$H$27</f>
        <v>448679.13101562532</v>
      </c>
      <c r="R8" s="7">
        <f>'Konstanta b triple'!$H$27</f>
        <v>70954.658945312956</v>
      </c>
      <c r="S8" s="7">
        <f>'Konstanta c triple'!$H$27</f>
        <v>20595.49882812507</v>
      </c>
      <c r="T8" s="7">
        <f>'Peramalan triple'!$H$27</f>
        <v>345082.28812500008</v>
      </c>
      <c r="U8" s="7">
        <f t="shared" si="0"/>
        <v>25.545164639504002</v>
      </c>
      <c r="V8" s="7">
        <f t="shared" si="1"/>
        <v>25.545164639504002</v>
      </c>
      <c r="W8" s="7" t="str">
        <f>'Rekap 0,1'!S8</f>
        <v>Juli</v>
      </c>
      <c r="X8" s="7">
        <f>kg!$H$7</f>
        <v>53358.239999999998</v>
      </c>
      <c r="Y8" s="7">
        <f>'Single Exponen'!$H$30</f>
        <v>36604.652812499997</v>
      </c>
      <c r="Z8" s="7">
        <f>'Double Exponen'!$H$30</f>
        <v>27880.345624999998</v>
      </c>
      <c r="AA8" s="7">
        <f>'triple exponen'!$H$30</f>
        <v>22450.100390625001</v>
      </c>
      <c r="AB8" s="7">
        <f>'Konstanta a triple'!$H$30</f>
        <v>48623.021953125004</v>
      </c>
      <c r="AC8" s="7">
        <f>'Konstanta b triple'!$H$30</f>
        <v>16959.462070312511</v>
      </c>
      <c r="AD8" s="7">
        <f>'Konstanta c triple'!$H$30</f>
        <v>3294.0619531250013</v>
      </c>
      <c r="AE8" s="7">
        <f>'Peramalan triple'!$H$30</f>
        <v>15476.495625000005</v>
      </c>
      <c r="AF8" s="7">
        <f t="shared" si="4"/>
        <v>70.995115983960488</v>
      </c>
      <c r="AG8" s="7">
        <f t="shared" si="5"/>
        <v>70.995115983960488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Exponen'!$I$26</f>
        <v>12491.5371875</v>
      </c>
      <c r="D9" s="7">
        <f>'Double Exponen'!$I$26</f>
        <v>12425.601796875</v>
      </c>
      <c r="E9" s="7">
        <f>'triple exponen'!$I$26</f>
        <v>12179.870898437503</v>
      </c>
      <c r="F9" s="7">
        <f>'Konstanta a triple'!$I$26</f>
        <v>12377.677070312506</v>
      </c>
      <c r="G9" s="7">
        <f>'Konstanta b triple'!$I$26</f>
        <v>-383.55337890623923</v>
      </c>
      <c r="H9" s="7">
        <f>'Konstanta c triple'!$I$26</f>
        <v>-179.79550781249782</v>
      </c>
      <c r="I9" s="7">
        <f>'Peramalan triple'!$I$26</f>
        <v>21708.656562499993</v>
      </c>
      <c r="J9" s="7">
        <f t="shared" si="2"/>
        <v>-96.553060500621044</v>
      </c>
      <c r="K9" s="7">
        <f t="shared" si="3"/>
        <v>96.553060500621044</v>
      </c>
      <c r="L9" s="7" t="str">
        <f>'Rekap 0,1'!J9</f>
        <v>Agustus</v>
      </c>
      <c r="M9" s="7">
        <f>kg!$I$4</f>
        <v>511860.86</v>
      </c>
      <c r="N9" s="7">
        <f>'Single Exponen'!$I$27</f>
        <v>460239.29015625</v>
      </c>
      <c r="O9" s="7">
        <f>'Double Exponen'!$I$27</f>
        <v>424695.54929687502</v>
      </c>
      <c r="P9" s="7">
        <f>'triple exponen'!$I$27</f>
        <v>407488.47234375007</v>
      </c>
      <c r="Q9" s="7">
        <f>'Konstanta a triple'!$I$27</f>
        <v>514119.69492187514</v>
      </c>
      <c r="R9" s="7">
        <f>'Konstanta b triple'!$I$27</f>
        <v>81385.400625000126</v>
      </c>
      <c r="S9" s="7">
        <f>'Konstanta c triple'!$I$27</f>
        <v>18336.663906250033</v>
      </c>
      <c r="T9" s="7">
        <f>'Peramalan triple'!$I$27</f>
        <v>529931.53937500087</v>
      </c>
      <c r="U9" s="7">
        <f t="shared" si="0"/>
        <v>-3.5303889762153098</v>
      </c>
      <c r="V9" s="7">
        <f t="shared" si="1"/>
        <v>3.5303889762153098</v>
      </c>
      <c r="W9" s="7" t="str">
        <f>'Rekap 0,1'!S9</f>
        <v>Agustus</v>
      </c>
      <c r="X9" s="7">
        <f>kg!$I$7</f>
        <v>31973.26</v>
      </c>
      <c r="Y9" s="7">
        <f>'Single Exponen'!$I$30</f>
        <v>34288.956406249999</v>
      </c>
      <c r="Z9" s="7">
        <f>'Double Exponen'!$I$30</f>
        <v>31084.651015625001</v>
      </c>
      <c r="AA9" s="7">
        <f>'triple exponen'!$I$30</f>
        <v>26767.375703125002</v>
      </c>
      <c r="AB9" s="7">
        <f>'Konstanta a triple'!$I$30</f>
        <v>36380.291874999995</v>
      </c>
      <c r="AC9" s="7">
        <f>'Konstanta b triple'!$I$30</f>
        <v>421.88058593749884</v>
      </c>
      <c r="AD9" s="7">
        <f>'Konstanta c triple'!$I$30</f>
        <v>-1112.9699218749993</v>
      </c>
      <c r="AE9" s="7">
        <f>'Peramalan triple'!$I$30</f>
        <v>67229.515000000014</v>
      </c>
      <c r="AF9" s="7">
        <f t="shared" si="4"/>
        <v>-110.2679395219631</v>
      </c>
      <c r="AG9" s="7">
        <f t="shared" si="5"/>
        <v>110.2679395219631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Exponen'!$J$26</f>
        <v>11690.543593750001</v>
      </c>
      <c r="D10" s="7">
        <f>'Double Exponen'!$J$26</f>
        <v>12058.072695312501</v>
      </c>
      <c r="E10" s="7">
        <f>'triple exponen'!$J$26</f>
        <v>12118.971796875003</v>
      </c>
      <c r="F10" s="7">
        <f>'Konstanta a triple'!$J$26</f>
        <v>11016.384492187497</v>
      </c>
      <c r="G10" s="7">
        <f>'Konstanta b triple'!$J$26</f>
        <v>-1134.1041015625051</v>
      </c>
      <c r="H10" s="7">
        <f>'Konstanta c triple'!$J$26</f>
        <v>-306.6299999999992</v>
      </c>
      <c r="I10" s="7">
        <f>'Peramalan triple'!$J$26</f>
        <v>11904.225937500018</v>
      </c>
      <c r="J10" s="7">
        <f t="shared" si="2"/>
        <v>-9.3178867584061624</v>
      </c>
      <c r="K10" s="7">
        <f t="shared" si="3"/>
        <v>9.3178867584061624</v>
      </c>
      <c r="L10" s="7" t="str">
        <f>'Rekap 0,1'!J10</f>
        <v>September</v>
      </c>
      <c r="M10" s="7">
        <f>kg!$J$4</f>
        <v>513170.2</v>
      </c>
      <c r="N10" s="7">
        <f>'Single Exponen'!$J$27</f>
        <v>486704.74507812504</v>
      </c>
      <c r="O10" s="7">
        <f>'Double Exponen'!$J$27</f>
        <v>455700.14718750003</v>
      </c>
      <c r="P10" s="7">
        <f>'triple exponen'!$J$27</f>
        <v>431594.3097656251</v>
      </c>
      <c r="Q10" s="7">
        <f>'Konstanta a triple'!$J$27</f>
        <v>524608.10343750007</v>
      </c>
      <c r="R10" s="7">
        <f>'Konstanta b triple'!$J$27</f>
        <v>48251.499062500196</v>
      </c>
      <c r="S10" s="7">
        <f>'Konstanta c triple'!$J$27</f>
        <v>6898.7604687500861</v>
      </c>
      <c r="T10" s="7">
        <f>'Peramalan triple'!$J$27</f>
        <v>604673.42750000022</v>
      </c>
      <c r="U10" s="7">
        <f t="shared" si="0"/>
        <v>-17.830970601956274</v>
      </c>
      <c r="V10" s="7">
        <f t="shared" si="1"/>
        <v>17.830970601956274</v>
      </c>
      <c r="W10" s="7" t="str">
        <f>'Rekap 0,1'!S10</f>
        <v>September</v>
      </c>
      <c r="X10" s="7">
        <f>kg!$J$7</f>
        <v>28522.799999999999</v>
      </c>
      <c r="Y10" s="7">
        <f>'Single Exponen'!$J$30</f>
        <v>31405.878203125001</v>
      </c>
      <c r="Z10" s="7">
        <f>'Double Exponen'!$J$30</f>
        <v>31245.264609375001</v>
      </c>
      <c r="AA10" s="7">
        <f>'triple exponen'!$J$30</f>
        <v>29006.320156250003</v>
      </c>
      <c r="AB10" s="7">
        <f>'Konstanta a triple'!$J$30</f>
        <v>29488.160937500012</v>
      </c>
      <c r="AC10" s="7">
        <f>'Konstanta b triple'!$J$30</f>
        <v>-5035.2135546874779</v>
      </c>
      <c r="AD10" s="7">
        <f>'Konstanta c triple'!$J$30</f>
        <v>-2078.3308593749971</v>
      </c>
      <c r="AE10" s="7">
        <f>'Peramalan triple'!$J$30</f>
        <v>36245.687499999993</v>
      </c>
      <c r="AF10" s="7">
        <f t="shared" si="4"/>
        <v>-27.076189925252759</v>
      </c>
      <c r="AG10" s="7">
        <f t="shared" si="5"/>
        <v>27.076189925252759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Exponen'!$K$26</f>
        <v>10048.441796875</v>
      </c>
      <c r="D11" s="7">
        <f>'Double Exponen'!$K$26</f>
        <v>11053.257246093752</v>
      </c>
      <c r="E11" s="7">
        <f>'triple exponen'!$K$26</f>
        <v>11586.114521484378</v>
      </c>
      <c r="F11" s="7">
        <f>'Konstanta a triple'!$K$26</f>
        <v>8571.6681738281259</v>
      </c>
      <c r="G11" s="7">
        <f>'Konstanta b triple'!$K$26</f>
        <v>-2184.7108837890664</v>
      </c>
      <c r="H11" s="7">
        <f>'Konstanta c triple'!$K$26</f>
        <v>-471.95817382812493</v>
      </c>
      <c r="I11" s="7">
        <f>'Peramalan triple'!$K$26</f>
        <v>9728.9653906249914</v>
      </c>
      <c r="J11" s="7">
        <f t="shared" si="2"/>
        <v>-15.733665193472918</v>
      </c>
      <c r="K11" s="7">
        <f t="shared" si="3"/>
        <v>15.733665193472918</v>
      </c>
      <c r="L11" s="7" t="str">
        <f>'Rekap 0,1'!J11</f>
        <v>Oktober</v>
      </c>
      <c r="M11" s="7">
        <f>kg!$K$4</f>
        <v>525723.46</v>
      </c>
      <c r="N11" s="7">
        <f>'Single Exponen'!$K$27</f>
        <v>506214.1025390625</v>
      </c>
      <c r="O11" s="7">
        <f>'Double Exponen'!$K$27</f>
        <v>480957.12486328126</v>
      </c>
      <c r="P11" s="7">
        <f>'triple exponen'!$K$27</f>
        <v>456275.71731445321</v>
      </c>
      <c r="Q11" s="7">
        <f>'Konstanta a triple'!$K$27</f>
        <v>532046.65034179704</v>
      </c>
      <c r="R11" s="7">
        <f>'Konstanta b triple'!$K$27</f>
        <v>26695.902993164491</v>
      </c>
      <c r="S11" s="7">
        <f>'Konstanta c triple'!$K$27</f>
        <v>575.57012695318554</v>
      </c>
      <c r="T11" s="7">
        <f>'Peramalan triple'!$K$27</f>
        <v>576308.98273437528</v>
      </c>
      <c r="U11" s="7">
        <f t="shared" si="0"/>
        <v>-9.6220782565752963</v>
      </c>
      <c r="V11" s="7">
        <f t="shared" si="1"/>
        <v>9.6220782565752963</v>
      </c>
      <c r="W11" s="7" t="str">
        <f>'Rekap 0,1'!S11</f>
        <v>Oktober</v>
      </c>
      <c r="X11" s="7">
        <f>kg!$K$7</f>
        <v>51078.26</v>
      </c>
      <c r="Y11" s="7">
        <f>'Single Exponen'!$K$30</f>
        <v>41242.069101562505</v>
      </c>
      <c r="Z11" s="7">
        <f>'Double Exponen'!$K$30</f>
        <v>36243.666855468749</v>
      </c>
      <c r="AA11" s="7">
        <f>'triple exponen'!$K$30</f>
        <v>32624.99350585938</v>
      </c>
      <c r="AB11" s="7">
        <f>'Konstanta a triple'!$K$30</f>
        <v>47620.200244140651</v>
      </c>
      <c r="AC11" s="7">
        <f>'Konstanta b triple'!$K$30</f>
        <v>8447.7244873047312</v>
      </c>
      <c r="AD11" s="7">
        <f>'Konstanta c triple'!$K$30</f>
        <v>1379.7288964843865</v>
      </c>
      <c r="AE11" s="7">
        <f>'Peramalan triple'!$K$30</f>
        <v>23413.781953125035</v>
      </c>
      <c r="AF11" s="7">
        <f t="shared" si="4"/>
        <v>54.160964071358272</v>
      </c>
      <c r="AG11" s="7">
        <f t="shared" si="5"/>
        <v>54.160964071358272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Exponen'!$L$26</f>
        <v>14099.195898437501</v>
      </c>
      <c r="D12" s="7">
        <f>'Double Exponen'!$L$26</f>
        <v>12576.226572265627</v>
      </c>
      <c r="E12" s="7">
        <f>'triple exponen'!$L$26</f>
        <v>12081.170546875004</v>
      </c>
      <c r="F12" s="7">
        <f>'Konstanta a triple'!$L$26</f>
        <v>16650.078525390632</v>
      </c>
      <c r="G12" s="7">
        <f>'Konstanta b triple'!$L$26</f>
        <v>4092.7525781250151</v>
      </c>
      <c r="H12" s="7">
        <f>'Konstanta c triple'!$L$26</f>
        <v>1027.9133007812525</v>
      </c>
      <c r="I12" s="7">
        <f>'Peramalan triple'!$L$26</f>
        <v>6150.978203124997</v>
      </c>
      <c r="J12" s="7">
        <f t="shared" si="2"/>
        <v>66.110219570164134</v>
      </c>
      <c r="K12" s="7">
        <f t="shared" si="3"/>
        <v>66.110219570164134</v>
      </c>
      <c r="L12" s="7" t="str">
        <f>'Rekap 0,1'!J12</f>
        <v>November</v>
      </c>
      <c r="M12" s="7">
        <f>kg!$L$4</f>
        <v>480711.96</v>
      </c>
      <c r="N12" s="7">
        <f>'Single Exponen'!$L$27</f>
        <v>493463.03126953123</v>
      </c>
      <c r="O12" s="7">
        <f>'Double Exponen'!$L$27</f>
        <v>487210.07806640625</v>
      </c>
      <c r="P12" s="7">
        <f>'triple exponen'!$L$27</f>
        <v>471742.89769042982</v>
      </c>
      <c r="Q12" s="7">
        <f>'Konstanta a triple'!$L$27</f>
        <v>490501.75729980483</v>
      </c>
      <c r="R12" s="7">
        <f>'Konstanta b triple'!$L$27</f>
        <v>-16782.614729003515</v>
      </c>
      <c r="S12" s="7">
        <f>'Konstanta c triple'!$L$27</f>
        <v>-9214.2271728514461</v>
      </c>
      <c r="T12" s="7">
        <f>'Peramalan triple'!$L$27</f>
        <v>559030.33839843818</v>
      </c>
      <c r="U12" s="7">
        <f t="shared" si="0"/>
        <v>-16.292163481523978</v>
      </c>
      <c r="V12" s="7">
        <f t="shared" si="1"/>
        <v>16.292163481523978</v>
      </c>
      <c r="W12" s="7" t="str">
        <f>'Rekap 0,1'!S12</f>
        <v>November</v>
      </c>
      <c r="X12" s="7">
        <f>kg!$L$7</f>
        <v>50149.88</v>
      </c>
      <c r="Y12" s="7">
        <f>'Single Exponen'!$L$30</f>
        <v>45695.974550781248</v>
      </c>
      <c r="Z12" s="7">
        <f>'Double Exponen'!$L$30</f>
        <v>40969.820703124999</v>
      </c>
      <c r="AA12" s="7">
        <f>'triple exponen'!$L$30</f>
        <v>36797.407104492195</v>
      </c>
      <c r="AB12" s="7">
        <f>'Konstanta a triple'!$L$30</f>
        <v>50975.868647460949</v>
      </c>
      <c r="AC12" s="7">
        <f>'Konstanta b triple'!$L$30</f>
        <v>6110.5044702148734</v>
      </c>
      <c r="AD12" s="7">
        <f>'Konstanta c triple'!$L$30</f>
        <v>553.74024902344536</v>
      </c>
      <c r="AE12" s="7">
        <f>'Peramalan triple'!$L$30</f>
        <v>56757.789179687577</v>
      </c>
      <c r="AF12" s="7">
        <f t="shared" si="4"/>
        <v>-13.176321019487148</v>
      </c>
      <c r="AG12" s="7">
        <f t="shared" si="5"/>
        <v>13.176321019487148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Exponen'!$M$26</f>
        <v>13002.29294921875</v>
      </c>
      <c r="D13" s="7">
        <f>'Double Exponen'!$M$26</f>
        <v>12789.259760742189</v>
      </c>
      <c r="E13" s="7">
        <f>'triple exponen'!$M$26</f>
        <v>12435.215153808596</v>
      </c>
      <c r="F13" s="7">
        <f>'Konstanta a triple'!$M$26</f>
        <v>13074.314719238282</v>
      </c>
      <c r="G13" s="7">
        <f>'Konstanta b triple'!$M$26</f>
        <v>-139.4953576660082</v>
      </c>
      <c r="H13" s="7">
        <f>'Konstanta c triple'!$M$26</f>
        <v>-141.01141845703023</v>
      </c>
      <c r="I13" s="7">
        <f>'Peramalan triple'!$M$26</f>
        <v>21256.787753906276</v>
      </c>
      <c r="J13" s="7">
        <f t="shared" si="2"/>
        <v>-78.547596961597037</v>
      </c>
      <c r="K13" s="7">
        <f t="shared" si="3"/>
        <v>78.547596961597037</v>
      </c>
      <c r="L13" s="7" t="str">
        <f>'Rekap 0,1'!J13</f>
        <v>Desember</v>
      </c>
      <c r="M13" s="7">
        <f>kg!$M$4</f>
        <v>428532.64</v>
      </c>
      <c r="N13" s="7">
        <f>'Single Exponen'!$M$27</f>
        <v>460997.83563476562</v>
      </c>
      <c r="O13" s="7">
        <f>'Double Exponen'!$M$27</f>
        <v>474103.95685058594</v>
      </c>
      <c r="P13" s="7">
        <f>'triple exponen'!$M$27</f>
        <v>472923.42727050791</v>
      </c>
      <c r="Q13" s="7">
        <f>'Konstanta a triple'!$M$27</f>
        <v>433605.06362304697</v>
      </c>
      <c r="R13" s="7">
        <f>'Konstanta b triple'!$M$27</f>
        <v>-48822.74820556608</v>
      </c>
      <c r="S13" s="7">
        <f>'Konstanta c triple'!$M$27</f>
        <v>-14286.650795898342</v>
      </c>
      <c r="T13" s="7">
        <f>'Peramalan triple'!$M$27</f>
        <v>469112.02898437559</v>
      </c>
      <c r="U13" s="7">
        <f t="shared" si="0"/>
        <v>-9.4693811384765407</v>
      </c>
      <c r="V13" s="7">
        <f t="shared" si="1"/>
        <v>9.4693811384765407</v>
      </c>
      <c r="W13" s="7" t="str">
        <f>'Rekap 0,1'!S13</f>
        <v>Desember</v>
      </c>
      <c r="X13" s="7">
        <f>kg!$M$7</f>
        <v>42897.42</v>
      </c>
      <c r="Y13" s="7">
        <f>'Single Exponen'!$M$30</f>
        <v>44296.697275390623</v>
      </c>
      <c r="Z13" s="7">
        <f>'Double Exponen'!$M$30</f>
        <v>42633.258989257811</v>
      </c>
      <c r="AA13" s="7">
        <f>'triple exponen'!$M$30</f>
        <v>39715.333046875006</v>
      </c>
      <c r="AB13" s="7">
        <f>'Konstanta a triple'!$M$30</f>
        <v>44705.64790527345</v>
      </c>
      <c r="AC13" s="7">
        <f>'Konstanta b triple'!$M$30</f>
        <v>-1472.7808544921572</v>
      </c>
      <c r="AD13" s="7">
        <f>'Konstanta c triple'!$M$30</f>
        <v>-1254.4876562499921</v>
      </c>
      <c r="AE13" s="7">
        <f>'Peramalan triple'!$M$30</f>
        <v>57363.243242187542</v>
      </c>
      <c r="AF13" s="7">
        <f t="shared" si="4"/>
        <v>-33.721895727499565</v>
      </c>
      <c r="AG13" s="7">
        <f t="shared" si="5"/>
        <v>33.721895727499565</v>
      </c>
    </row>
    <row r="14" spans="1:33" x14ac:dyDescent="0.3">
      <c r="J14" s="7">
        <f>(SUM(J3:J13)/12)</f>
        <v>-22.985420574131037</v>
      </c>
      <c r="K14" s="7">
        <f>(SUM(K3:K13)/12)</f>
        <v>64.628167080800736</v>
      </c>
      <c r="U14" s="7">
        <f>(SUM(U3:U13)/12)</f>
        <v>-9.0401360880872925</v>
      </c>
      <c r="V14" s="7">
        <f>(SUM(V3:V13)/12)</f>
        <v>31.518618609286957</v>
      </c>
      <c r="AF14" s="7">
        <f>(SUM(AF3:AF13)/12)</f>
        <v>-13.705965749184488</v>
      </c>
      <c r="AG14" s="7">
        <f>(SUM(AG3:AG13)/12)</f>
        <v>53.781005225476207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Exponen'!$B$28</f>
        <v>23458.3</v>
      </c>
      <c r="O16" s="7">
        <f>'Double Exponen'!$B$28</f>
        <v>23458.3</v>
      </c>
      <c r="P16" s="7">
        <f>'triple exponen'!$B$28</f>
        <v>23458.3</v>
      </c>
      <c r="Q16" s="7">
        <f>'Konstanta a triple'!$B$28</f>
        <v>23458.3</v>
      </c>
      <c r="R16" s="7">
        <f>'Konstanta b triple'!$B$28</f>
        <v>1.4551915228366852E-11</v>
      </c>
      <c r="S16" s="7">
        <f>'Konstanta c triple'!$B$28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Exponen'!$C$28</f>
        <v>32837.449999999997</v>
      </c>
      <c r="O17" s="7">
        <f>'Double Exponen'!$C$28</f>
        <v>28147.875</v>
      </c>
      <c r="P17" s="7">
        <f>'triple exponen'!$C$28</f>
        <v>25803.087500000001</v>
      </c>
      <c r="Q17" s="7">
        <f>'Konstanta a triple'!$C$28</f>
        <v>39871.812499999993</v>
      </c>
      <c r="R17" s="7">
        <f>'Konstanta b triple'!$C$28</f>
        <v>10551.543749999983</v>
      </c>
      <c r="S17" s="7">
        <f>'Konstanta c triple'!$C$28</f>
        <v>2344.7874999999985</v>
      </c>
      <c r="T17" s="7">
        <f>'Peramalan triple'!$C$28</f>
        <v>23458.300000000014</v>
      </c>
      <c r="U17" s="7">
        <f t="shared" ref="U17:U27" si="6">((M17-T17)/M17)*100</f>
        <v>44.433469298806592</v>
      </c>
      <c r="V17" s="7">
        <f t="shared" ref="V17:V27" si="7">ABS((M17-T17)/M17)*100</f>
        <v>44.433469298806592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Exponen'!$D$28</f>
        <v>30794.674999999999</v>
      </c>
      <c r="O18" s="7">
        <f>'Double Exponen'!$D$28</f>
        <v>29471.275000000001</v>
      </c>
      <c r="P18" s="7">
        <f>'triple exponen'!$D$28</f>
        <v>27637.181250000005</v>
      </c>
      <c r="Q18" s="7">
        <f>'Konstanta a triple'!$D$28</f>
        <v>31607.381249999988</v>
      </c>
      <c r="R18" s="7">
        <f>'Konstanta b triple'!$D$28</f>
        <v>46.665624999994179</v>
      </c>
      <c r="S18" s="7">
        <f>'Konstanta c triple'!$D$28</f>
        <v>-510.69374999999854</v>
      </c>
      <c r="T18" s="7">
        <f>'Peramalan triple'!$D$28</f>
        <v>51595.749999999971</v>
      </c>
      <c r="U18" s="7">
        <f t="shared" si="6"/>
        <v>-79.451618849536786</v>
      </c>
      <c r="V18" s="7">
        <f t="shared" si="7"/>
        <v>79.451618849536786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Exponen'!$E$28</f>
        <v>35085.787499999999</v>
      </c>
      <c r="O19" s="7">
        <f>'Double Exponen'!$E$28</f>
        <v>32278.53125</v>
      </c>
      <c r="P19" s="7">
        <f>'triple exponen'!$E$28</f>
        <v>29957.856250000004</v>
      </c>
      <c r="Q19" s="7">
        <f>'Konstanta a triple'!$E$28</f>
        <v>38379.624999999993</v>
      </c>
      <c r="R19" s="7">
        <f>'Konstanta b triple'!$E$28</f>
        <v>4023.7093750000058</v>
      </c>
      <c r="S19" s="7">
        <f>'Konstanta c triple'!$E$28</f>
        <v>486.58125000000291</v>
      </c>
      <c r="T19" s="7">
        <f>'Peramalan triple'!$E$28</f>
        <v>31398.699999999983</v>
      </c>
      <c r="U19" s="7">
        <f t="shared" si="6"/>
        <v>20.261117558771815</v>
      </c>
      <c r="V19" s="7">
        <f t="shared" si="7"/>
        <v>20.261117558771815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Exponen'!$F$28</f>
        <v>29473.693749999999</v>
      </c>
      <c r="O20" s="7">
        <f>'Double Exponen'!$F$28</f>
        <v>30876.112499999999</v>
      </c>
      <c r="P20" s="7">
        <f>'triple exponen'!$F$28</f>
        <v>30416.984375000007</v>
      </c>
      <c r="Q20" s="7">
        <f>'Konstanta a triple'!$F$28</f>
        <v>26209.728125000001</v>
      </c>
      <c r="R20" s="7">
        <f>'Konstanta b triple'!$F$28</f>
        <v>-6056.2859374999825</v>
      </c>
      <c r="S20" s="7">
        <f>'Konstanta c triple'!$F$28</f>
        <v>-1861.5468749999927</v>
      </c>
      <c r="T20" s="7">
        <f>'Peramalan triple'!$F$28</f>
        <v>42646.625</v>
      </c>
      <c r="U20" s="7">
        <f t="shared" si="6"/>
        <v>-78.724917859657367</v>
      </c>
      <c r="V20" s="7">
        <f t="shared" si="7"/>
        <v>78.724917859657367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Exponen'!$G$28</f>
        <v>43345.296875</v>
      </c>
      <c r="O21" s="7">
        <f>'Double Exponen'!$G$28</f>
        <v>37110.704687500001</v>
      </c>
      <c r="P21" s="7">
        <f>'triple exponen'!$G$28</f>
        <v>33763.844531250012</v>
      </c>
      <c r="Q21" s="7">
        <f>'Konstanta a triple'!$G$28</f>
        <v>52467.62109375</v>
      </c>
      <c r="R21" s="7">
        <f>'Konstanta b triple'!$G$28</f>
        <v>13453.922265625006</v>
      </c>
      <c r="S21" s="7">
        <f>'Konstanta c triple'!$G$28</f>
        <v>2887.7320312500087</v>
      </c>
      <c r="T21" s="7">
        <f>'Peramalan triple'!$G$28</f>
        <v>19222.668750000023</v>
      </c>
      <c r="U21" s="7">
        <f t="shared" si="6"/>
        <v>66.403861883464472</v>
      </c>
      <c r="V21" s="7">
        <f t="shared" si="7"/>
        <v>66.403861883464472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Exponen'!$H$28</f>
        <v>63540.998437499999</v>
      </c>
      <c r="O22" s="7">
        <f>'Double Exponen'!$H$28</f>
        <v>50325.8515625</v>
      </c>
      <c r="P22" s="7">
        <f>'triple exponen'!$H$28</f>
        <v>42044.848046875006</v>
      </c>
      <c r="Q22" s="7">
        <f>'Konstanta a triple'!$H$28</f>
        <v>81690.288671874994</v>
      </c>
      <c r="R22" s="7">
        <f>'Konstanta b triple'!$H$28</f>
        <v>25550.50527343752</v>
      </c>
      <c r="S22" s="7">
        <f>'Konstanta c triple'!$H$28</f>
        <v>4934.1433593750044</v>
      </c>
      <c r="T22" s="7">
        <f>'Peramalan triple'!$H$28</f>
        <v>67365.409375000017</v>
      </c>
      <c r="U22" s="7">
        <f t="shared" si="6"/>
        <v>19.550914503437536</v>
      </c>
      <c r="V22" s="7">
        <f t="shared" si="7"/>
        <v>19.550914503437536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Exponen'!$I$28</f>
        <v>58797.099218749994</v>
      </c>
      <c r="O23" s="7">
        <f>'Double Exponen'!$I$28</f>
        <v>54561.475390624997</v>
      </c>
      <c r="P23" s="7">
        <f>'triple exponen'!$I$28</f>
        <v>48303.161718750009</v>
      </c>
      <c r="Q23" s="7">
        <f>'Konstanta a triple'!$I$28</f>
        <v>61010.033203125015</v>
      </c>
      <c r="R23" s="7">
        <f>'Konstanta b triple'!$I$28</f>
        <v>-821.10078124995925</v>
      </c>
      <c r="S23" s="7">
        <f>'Konstanta c triple'!$I$28</f>
        <v>-2022.6898437499913</v>
      </c>
      <c r="T23" s="7">
        <f>'Peramalan triple'!$I$28</f>
        <v>109707.86562500002</v>
      </c>
      <c r="U23" s="7">
        <f t="shared" si="6"/>
        <v>-102.9627582178299</v>
      </c>
      <c r="V23" s="7">
        <f t="shared" si="7"/>
        <v>102.9627582178299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Exponen'!$J$28</f>
        <v>35030.799609374997</v>
      </c>
      <c r="O24" s="7">
        <f>'Double Exponen'!$J$28</f>
        <v>44796.137499999997</v>
      </c>
      <c r="P24" s="7">
        <f>'triple exponen'!$J$28</f>
        <v>46549.649609375003</v>
      </c>
      <c r="Q24" s="7">
        <f>'Konstanta a triple'!$J$28</f>
        <v>17253.635937500017</v>
      </c>
      <c r="R24" s="7">
        <f>'Konstanta b triple'!$J$28</f>
        <v>-29794.902343749971</v>
      </c>
      <c r="S24" s="7">
        <f>'Konstanta c triple'!$J$28</f>
        <v>-8011.8257812499942</v>
      </c>
      <c r="T24" s="7">
        <f>'Peramalan triple'!$J$28</f>
        <v>59177.58750000006</v>
      </c>
      <c r="U24" s="7">
        <f t="shared" si="6"/>
        <v>-425.34588752274897</v>
      </c>
      <c r="V24" s="7">
        <f t="shared" si="7"/>
        <v>425.34588752274897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Exponen'!$K$28</f>
        <v>29622.899804687499</v>
      </c>
      <c r="O25" s="7">
        <f>'Double Exponen'!$K$28</f>
        <v>37209.518652343744</v>
      </c>
      <c r="P25" s="7">
        <f>'triple exponen'!$K$28</f>
        <v>41879.584130859381</v>
      </c>
      <c r="Q25" s="7">
        <f>'Konstanta a triple'!$K$28</f>
        <v>19119.727587890637</v>
      </c>
      <c r="R25" s="7">
        <f>'Konstanta b triple'!$K$28</f>
        <v>-14878.002270507772</v>
      </c>
      <c r="S25" s="7">
        <f>'Konstanta c triple'!$K$28</f>
        <v>-2916.553369140609</v>
      </c>
      <c r="T25" s="7">
        <f>'Peramalan triple'!$K$28</f>
        <v>-16547.179296874951</v>
      </c>
      <c r="U25" s="7">
        <f t="shared" si="6"/>
        <v>168.33441790986973</v>
      </c>
      <c r="V25" s="7">
        <f t="shared" si="7"/>
        <v>168.33441790986973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Exponen'!$L$28</f>
        <v>28241.749902343749</v>
      </c>
      <c r="O26" s="7">
        <f>'Double Exponen'!$L$28</f>
        <v>32725.634277343746</v>
      </c>
      <c r="P26" s="7">
        <f>'triple exponen'!$L$28</f>
        <v>37302.609204101565</v>
      </c>
      <c r="Q26" s="7">
        <f>'Konstanta a triple'!$L$28</f>
        <v>23850.956079101568</v>
      </c>
      <c r="R26" s="7">
        <f>'Konstanta b triple'!$L$28</f>
        <v>-4251.1579956054484</v>
      </c>
      <c r="S26" s="7">
        <f>'Konstanta c triple'!$L$28</f>
        <v>93.090551757821231</v>
      </c>
      <c r="T26" s="7">
        <f>'Peramalan triple'!$L$28</f>
        <v>2783.4486328125604</v>
      </c>
      <c r="U26" s="7">
        <f t="shared" si="6"/>
        <v>89.637429421485152</v>
      </c>
      <c r="V26" s="7">
        <f t="shared" si="7"/>
        <v>89.637429421485152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Exponen'!$M$28</f>
        <v>31047.224951171873</v>
      </c>
      <c r="O27" s="7">
        <f>'Double Exponen'!$M$28</f>
        <v>31886.42961425781</v>
      </c>
      <c r="P27" s="7">
        <f>'triple exponen'!$M$28</f>
        <v>34594.519409179688</v>
      </c>
      <c r="Q27" s="7">
        <f>'Konstanta a triple'!$M$28</f>
        <v>32076.905419921881</v>
      </c>
      <c r="R27" s="7">
        <f>'Konstanta b triple'!$M$28</f>
        <v>3833.0081665039179</v>
      </c>
      <c r="S27" s="7">
        <f>'Konstanta c triple'!$M$28</f>
        <v>1868.8851318359411</v>
      </c>
      <c r="T27" s="7">
        <f>'Peramalan triple'!$M$28</f>
        <v>19646.343359375031</v>
      </c>
      <c r="U27" s="7">
        <f t="shared" si="6"/>
        <v>41.965209985097104</v>
      </c>
      <c r="V27" s="7">
        <f t="shared" si="7"/>
        <v>41.965209985097104</v>
      </c>
    </row>
    <row r="28" spans="12:22" x14ac:dyDescent="0.3">
      <c r="U28" s="7">
        <f>(SUM(U17:U27)/12)</f>
        <v>-19.658230157403391</v>
      </c>
      <c r="V28" s="7">
        <f>(SUM(V17:V27)/12)</f>
        <v>94.75596691755878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Exponen'!$B$29</f>
        <v>4698.6499999999996</v>
      </c>
      <c r="O30" s="7">
        <f>'Double Exponen'!$B$29</f>
        <v>4698.6499999999996</v>
      </c>
      <c r="P30" s="7">
        <f>'triple exponen'!$B$29</f>
        <v>4698.6499999999996</v>
      </c>
      <c r="Q30" s="7">
        <f>'Konstanta a triple'!$B$29</f>
        <v>4698.6499999999996</v>
      </c>
      <c r="R30" s="7">
        <f>'Konstanta b triple'!$B$29</f>
        <v>0</v>
      </c>
      <c r="S30" s="7">
        <f>'Konstanta c triple'!$B$29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Exponen'!$C$29</f>
        <v>6671.8249999999998</v>
      </c>
      <c r="O31" s="7">
        <f>'Double Exponen'!$C$29</f>
        <v>5685.2374999999993</v>
      </c>
      <c r="P31" s="7">
        <f>'triple exponen'!$C$29</f>
        <v>5191.9437500000004</v>
      </c>
      <c r="Q31" s="7">
        <f>'Konstanta a triple'!$C$29</f>
        <v>8151.7062500000011</v>
      </c>
      <c r="R31" s="7">
        <f>'Konstanta b triple'!$C$29</f>
        <v>2219.8218750000051</v>
      </c>
      <c r="S31" s="7">
        <f>'Konstanta c triple'!$C$29</f>
        <v>493.29375000000164</v>
      </c>
      <c r="T31" s="7">
        <f>'Peramalan triple'!$C$29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Exponen'!$D$29</f>
        <v>7330.6374999999998</v>
      </c>
      <c r="O32" s="7">
        <f>'Double Exponen'!$D$29</f>
        <v>6507.9375</v>
      </c>
      <c r="P32" s="7">
        <f>'triple exponen'!$D$29</f>
        <v>5849.9406250000011</v>
      </c>
      <c r="Q32" s="7">
        <f>'Konstanta a triple'!$D$29</f>
        <v>8318.0406249999996</v>
      </c>
      <c r="R32" s="7">
        <f>'Konstanta b triple'!$D$29</f>
        <v>1234.4578125000044</v>
      </c>
      <c r="S32" s="7">
        <f>'Konstanta c triple'!$D$29</f>
        <v>164.70312500000091</v>
      </c>
      <c r="T32" s="7">
        <f>'Peramalan triple'!$D$29</f>
        <v>10618.175000000007</v>
      </c>
      <c r="U32" s="7">
        <f t="shared" si="8"/>
        <v>-32.902452609378699</v>
      </c>
      <c r="V32" s="7">
        <f t="shared" si="9"/>
        <v>32.902452609378699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Exponen'!$E$29</f>
        <v>6937.0987500000001</v>
      </c>
      <c r="O33" s="7">
        <f>'Double Exponen'!$E$29</f>
        <v>6722.5181250000005</v>
      </c>
      <c r="P33" s="7">
        <f>'triple exponen'!$E$29</f>
        <v>6286.2293750000008</v>
      </c>
      <c r="Q33" s="7">
        <f>'Konstanta a triple'!$E$29</f>
        <v>6929.9712500000005</v>
      </c>
      <c r="R33" s="7">
        <f>'Konstanta b triple'!$E$29</f>
        <v>-339.68968749999476</v>
      </c>
      <c r="S33" s="7">
        <f>'Konstanta c triple'!$E$29</f>
        <v>-221.70812500000011</v>
      </c>
      <c r="T33" s="7">
        <f>'Peramalan triple'!$E$29</f>
        <v>9634.850000000004</v>
      </c>
      <c r="U33" s="7">
        <f t="shared" si="8"/>
        <v>-47.241715518769652</v>
      </c>
      <c r="V33" s="7">
        <f t="shared" si="9"/>
        <v>47.241715518769652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Exponen'!$F$29</f>
        <v>26317.349374999998</v>
      </c>
      <c r="O34" s="7">
        <f>'Double Exponen'!$F$29</f>
        <v>16519.93375</v>
      </c>
      <c r="P34" s="7">
        <f>'triple exponen'!$F$29</f>
        <v>11403.081562500001</v>
      </c>
      <c r="Q34" s="7">
        <f>'Konstanta a triple'!$F$29</f>
        <v>40795.3284375</v>
      </c>
      <c r="R34" s="7">
        <f>'Konstanta b triple'!$F$29</f>
        <v>21498.824218749993</v>
      </c>
      <c r="S34" s="7">
        <f>'Konstanta c triple'!$F$29</f>
        <v>4680.5634374999991</v>
      </c>
      <c r="T34" s="7">
        <f>'Peramalan triple'!$F$29</f>
        <v>6479.4275000000052</v>
      </c>
      <c r="U34" s="7">
        <f t="shared" si="8"/>
        <v>85.821077036868445</v>
      </c>
      <c r="V34" s="7">
        <f t="shared" si="9"/>
        <v>85.821077036868445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Exponen'!$G$29</f>
        <v>16630.184687499997</v>
      </c>
      <c r="O35" s="7">
        <f>'Double Exponen'!$G$29</f>
        <v>16575.059218750001</v>
      </c>
      <c r="P35" s="7">
        <f>'triple exponen'!$G$29</f>
        <v>13989.070390625002</v>
      </c>
      <c r="Q35" s="7">
        <f>'Konstanta a triple'!$G$29</f>
        <v>14154.446796874992</v>
      </c>
      <c r="R35" s="7">
        <f>'Konstanta b triple'!$G$29</f>
        <v>-6272.0329296875134</v>
      </c>
      <c r="S35" s="7">
        <f>'Konstanta c triple'!$G$29</f>
        <v>-2530.8633593750019</v>
      </c>
      <c r="T35" s="7">
        <f>'Peramalan triple'!$G$29</f>
        <v>64634.43437499999</v>
      </c>
      <c r="U35" s="7">
        <f t="shared" si="8"/>
        <v>-830.92680670659149</v>
      </c>
      <c r="V35" s="7">
        <f t="shared" si="9"/>
        <v>830.92680670659149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Exponen'!$H$29</f>
        <v>12628.947343749998</v>
      </c>
      <c r="O36" s="7">
        <f>'Double Exponen'!$H$29</f>
        <v>14602.003281249999</v>
      </c>
      <c r="P36" s="7">
        <f>'triple exponen'!$H$29</f>
        <v>14295.536835937502</v>
      </c>
      <c r="Q36" s="7">
        <f>'Konstanta a triple'!$H$29</f>
        <v>8376.369023437499</v>
      </c>
      <c r="R36" s="7">
        <f>'Konstanta b triple'!$H$29</f>
        <v>-7671.8618945312483</v>
      </c>
      <c r="S36" s="7">
        <f>'Konstanta c triple'!$H$29</f>
        <v>-2279.5223828124981</v>
      </c>
      <c r="T36" s="7">
        <f>'Peramalan triple'!$H$29</f>
        <v>6616.982187499978</v>
      </c>
      <c r="U36" s="7">
        <f t="shared" si="8"/>
        <v>23.305463587672989</v>
      </c>
      <c r="V36" s="7">
        <f t="shared" si="9"/>
        <v>23.305463587672989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Exponen'!$I$29</f>
        <v>14911.473671874999</v>
      </c>
      <c r="O37" s="7">
        <f>'Double Exponen'!$I$29</f>
        <v>14756.738476562499</v>
      </c>
      <c r="P37" s="7">
        <f>'triple exponen'!$I$29</f>
        <v>14526.137656250003</v>
      </c>
      <c r="Q37" s="7">
        <f>'Konstanta a triple'!$I$29</f>
        <v>14990.343242187506</v>
      </c>
      <c r="R37" s="7">
        <f>'Konstanta b triple'!$I$29</f>
        <v>-34.928867187481956</v>
      </c>
      <c r="S37" s="7">
        <f>'Konstanta c triple'!$I$29</f>
        <v>-75.865624999996726</v>
      </c>
      <c r="T37" s="7">
        <f>'Peramalan triple'!$I$29</f>
        <v>-435.25406249999833</v>
      </c>
      <c r="U37" s="7">
        <f t="shared" si="8"/>
        <v>102.53142993195299</v>
      </c>
      <c r="V37" s="7">
        <f t="shared" si="9"/>
        <v>102.53142993195299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Exponen'!$J$29</f>
        <v>16076.7368359375</v>
      </c>
      <c r="O38" s="7">
        <f>'Double Exponen'!$J$29</f>
        <v>15416.737656249999</v>
      </c>
      <c r="P38" s="7">
        <f>'triple exponen'!$J$29</f>
        <v>14971.437656250004</v>
      </c>
      <c r="Q38" s="7">
        <f>'Konstanta a triple'!$J$29</f>
        <v>16951.435195312508</v>
      </c>
      <c r="R38" s="7">
        <f>'Konstanta b triple'!$J$29</f>
        <v>1196.7471289062596</v>
      </c>
      <c r="S38" s="7">
        <f>'Konstanta c triple'!$J$29</f>
        <v>214.69917968750451</v>
      </c>
      <c r="T38" s="7">
        <f>'Peramalan triple'!$J$29</f>
        <v>14917.481562500026</v>
      </c>
      <c r="U38" s="7">
        <f t="shared" si="8"/>
        <v>13.481721595522409</v>
      </c>
      <c r="V38" s="7">
        <f t="shared" si="9"/>
        <v>13.481721595522409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Exponen'!$K$29</f>
        <v>25621.968417968747</v>
      </c>
      <c r="O39" s="7">
        <f>'Double Exponen'!$K$29</f>
        <v>20519.353037109373</v>
      </c>
      <c r="P39" s="7">
        <f>'triple exponen'!$K$29</f>
        <v>17745.395346679688</v>
      </c>
      <c r="Q39" s="7">
        <f>'Konstanta a triple'!$K$29</f>
        <v>33053.241489257809</v>
      </c>
      <c r="R39" s="7">
        <f>'Konstanta b triple'!$K$29</f>
        <v>10924.2596069336</v>
      </c>
      <c r="S39" s="7">
        <f>'Konstanta c triple'!$K$29</f>
        <v>2328.657690429689</v>
      </c>
      <c r="T39" s="7">
        <f>'Peramalan triple'!$K$29</f>
        <v>18255.531914062522</v>
      </c>
      <c r="U39" s="7">
        <f t="shared" si="8"/>
        <v>48.089322112472637</v>
      </c>
      <c r="V39" s="7">
        <f t="shared" si="9"/>
        <v>48.089322112472637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Exponen'!$L$29</f>
        <v>16082.684208984374</v>
      </c>
      <c r="O40" s="7">
        <f>'Double Exponen'!$L$29</f>
        <v>18301.018623046875</v>
      </c>
      <c r="P40" s="7">
        <f>'triple exponen'!$L$29</f>
        <v>18023.206984863282</v>
      </c>
      <c r="Q40" s="7">
        <f>'Konstanta a triple'!$L$29</f>
        <v>11368.203742675782</v>
      </c>
      <c r="R40" s="7">
        <f>'Konstanta b triple'!$L$29</f>
        <v>-8458.6995446777364</v>
      </c>
      <c r="S40" s="7">
        <f>'Konstanta c triple'!$L$29</f>
        <v>-2496.1460522460948</v>
      </c>
      <c r="T40" s="7">
        <f>'Peramalan triple'!$L$29</f>
        <v>45141.829941406249</v>
      </c>
      <c r="U40" s="7">
        <f t="shared" si="8"/>
        <v>-589.88339305875002</v>
      </c>
      <c r="V40" s="7">
        <f t="shared" si="9"/>
        <v>589.88339305875002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Exponen'!$M$29</f>
        <v>12242.112104492187</v>
      </c>
      <c r="O41" s="7">
        <f>'Double Exponen'!$M$29</f>
        <v>15271.565363769532</v>
      </c>
      <c r="P41" s="7">
        <f>'triple exponen'!$M$29</f>
        <v>16647.386174316409</v>
      </c>
      <c r="Q41" s="7">
        <f>'Konstanta a triple'!$M$29</f>
        <v>7559.0263964843762</v>
      </c>
      <c r="R41" s="7">
        <f>'Konstanta b triple'!$M$29</f>
        <v>-7163.5343811035127</v>
      </c>
      <c r="S41" s="7">
        <f>'Konstanta c triple'!$M$29</f>
        <v>-1653.6324487304664</v>
      </c>
      <c r="T41" s="7">
        <f>'Peramalan triple'!$M$29</f>
        <v>1661.4311718749977</v>
      </c>
      <c r="U41" s="7">
        <f t="shared" si="8"/>
        <v>80.224682952470644</v>
      </c>
      <c r="V41" s="7">
        <f t="shared" si="9"/>
        <v>80.224682952470644</v>
      </c>
    </row>
    <row r="42" spans="12:22" x14ac:dyDescent="0.3">
      <c r="U42" s="7">
        <f>(SUM(U31:U41)/12)</f>
        <v>-91.820978388264891</v>
      </c>
      <c r="V42" s="7">
        <f>(SUM(V31:V41)/12)</f>
        <v>158.33808292731675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29F32-A3A3-4BED-B6AF-03BFF052DCCB}">
  <dimension ref="A1:AG42"/>
  <sheetViews>
    <sheetView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8" width="9.44140625" style="6" bestFit="1" customWidth="1"/>
    <col min="9" max="9" width="10.44140625" style="6" bestFit="1" customWidth="1"/>
    <col min="10" max="10" width="8.109375" style="6" bestFit="1" customWidth="1"/>
    <col min="11" max="11" width="7.44140625" style="6" bestFit="1" customWidth="1"/>
    <col min="12" max="12" width="13.6640625" style="6" bestFit="1" customWidth="1"/>
    <col min="13" max="17" width="9.44140625" style="6" bestFit="1" customWidth="1"/>
    <col min="18" max="19" width="10.109375" style="6" bestFit="1" customWidth="1"/>
    <col min="20" max="20" width="10.44140625" style="6" bestFit="1" customWidth="1"/>
    <col min="21" max="21" width="8.109375" style="6" bestFit="1" customWidth="1"/>
    <col min="22" max="22" width="7.44140625" style="6" bestFit="1" customWidth="1"/>
    <col min="23" max="23" width="14.109375" style="6" bestFit="1" customWidth="1"/>
    <col min="24" max="27" width="8.44140625" style="6" bestFit="1" customWidth="1"/>
    <col min="28" max="28" width="9.109375" style="6" bestFit="1" customWidth="1"/>
    <col min="29" max="29" width="10.109375" style="6" bestFit="1" customWidth="1"/>
    <col min="30" max="30" width="9.109375" style="6" bestFit="1" customWidth="1"/>
    <col min="31" max="31" width="10.109375" style="6" bestFit="1" customWidth="1"/>
    <col min="32" max="33" width="7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Exponen'!$B$32</f>
        <v>12588.09</v>
      </c>
      <c r="D2" s="7">
        <f>'Double Exponen'!$B$32</f>
        <v>12588.09</v>
      </c>
      <c r="E2" s="7">
        <f>'triple exponen'!$B$32</f>
        <v>12588.09</v>
      </c>
      <c r="F2" s="7">
        <f>'Konstanta a triple'!$B$32</f>
        <v>12588.09</v>
      </c>
      <c r="G2" s="7">
        <f>'Konstanta b triple'!$B$32</f>
        <v>0</v>
      </c>
      <c r="H2" s="7">
        <f>'Konstanta c triple'!$B$32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Exponen'!$B$33</f>
        <v>459915.78</v>
      </c>
      <c r="O2" s="7">
        <f>'Double Exponen'!$B$33</f>
        <v>459915.78</v>
      </c>
      <c r="P2" s="7">
        <f>'triple exponen'!$B$33</f>
        <v>459915.78</v>
      </c>
      <c r="Q2" s="7">
        <f>'Konstanta a triple'!$B$33</f>
        <v>459915.78</v>
      </c>
      <c r="R2" s="7">
        <f>'Konstanta b triple'!$B$33</f>
        <v>-2.1827872842550273E-10</v>
      </c>
      <c r="S2" s="7">
        <f>'Konstanta c triple'!$B$33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Exponen'!$B$36</f>
        <v>1033.08</v>
      </c>
      <c r="Z2" s="7">
        <f>'Double Exponen'!$B$36</f>
        <v>1033.08</v>
      </c>
      <c r="AA2" s="7">
        <f>'triple exponen'!$B$36</f>
        <v>1033.08</v>
      </c>
      <c r="AB2" s="7">
        <f>'Konstanta a triple'!$B$36</f>
        <v>1033.08</v>
      </c>
      <c r="AC2" s="7">
        <f>'Konstanta b triple'!$B$36</f>
        <v>0</v>
      </c>
      <c r="AD2" s="7">
        <f>'Konstanta c triple'!$B$36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Exponen'!$C$32</f>
        <v>7909.0860000000011</v>
      </c>
      <c r="D3" s="7">
        <f>'Double Exponen'!$C$32</f>
        <v>12120.189600000002</v>
      </c>
      <c r="E3" s="7">
        <f>'triple exponen'!$C$32</f>
        <v>12307.349760000003</v>
      </c>
      <c r="F3" s="7">
        <f>'Konstanta a triple'!$C$32</f>
        <v>-325.96104000000378</v>
      </c>
      <c r="G3" s="7">
        <f>'Konstanta b triple'!$C$32</f>
        <v>-22915.422089999989</v>
      </c>
      <c r="H3" s="7">
        <f>'Konstanta c triple'!$C$32</f>
        <v>-9053.8727399999971</v>
      </c>
      <c r="I3" s="7">
        <f>'Peramalan triple'!$C$26</f>
        <v>12588.089999999993</v>
      </c>
      <c r="J3" s="7">
        <f>((B3-I3)/B3)*100</f>
        <v>-162.81309045357258</v>
      </c>
      <c r="K3" s="7">
        <f>ABS((B3-I3)/B3)*100</f>
        <v>162.81309045357258</v>
      </c>
      <c r="L3" s="7" t="str">
        <f>'Rekap 0,1'!J3</f>
        <v>Februari</v>
      </c>
      <c r="M3" s="7">
        <f>kg!$C$4</f>
        <v>397220.76</v>
      </c>
      <c r="N3" s="7">
        <f>'Single Exponen'!$C$33</f>
        <v>422298.76800000004</v>
      </c>
      <c r="O3" s="7">
        <f>'Double Exponen'!$C$33</f>
        <v>456154.07880000008</v>
      </c>
      <c r="P3" s="7">
        <f>'triple exponen'!$C$33</f>
        <v>457658.75928000011</v>
      </c>
      <c r="Q3" s="7">
        <f>'Konstanta a triple'!$C$33</f>
        <v>356092.82687999983</v>
      </c>
      <c r="R3" s="7">
        <f>'Konstanta b triple'!$C$33</f>
        <v>-184229.3162700003</v>
      </c>
      <c r="S3" s="7">
        <f>'Konstanta c triple'!$C$33</f>
        <v>-72788.918219999978</v>
      </c>
      <c r="T3" s="7">
        <f>'Peramalan triple'!$C$33</f>
        <v>459915.7799999998</v>
      </c>
      <c r="U3" s="7">
        <f t="shared" ref="U3:U13" si="0">((M3-T3)/M3)*100</f>
        <v>-15.783419778966183</v>
      </c>
      <c r="V3" s="7">
        <f t="shared" ref="V3:V13" si="1">ABS((M3-T3)/M3)*100</f>
        <v>15.783419778966183</v>
      </c>
      <c r="W3" s="7" t="str">
        <f>'Rekap 0,1'!S3</f>
        <v>Februari</v>
      </c>
      <c r="X3" s="7">
        <f>kg!$C$7</f>
        <v>25477.94</v>
      </c>
      <c r="Y3" s="7">
        <f>'Single Exponen'!$C$36</f>
        <v>15699.995999999999</v>
      </c>
      <c r="Z3" s="7">
        <f>'Double Exponen'!$C$36</f>
        <v>2499.7715999999996</v>
      </c>
      <c r="AA3" s="7">
        <f>'triple exponen'!$C$36</f>
        <v>1913.0949599999999</v>
      </c>
      <c r="AB3" s="7">
        <f>'Konstanta a triple'!$C$36</f>
        <v>41513.76816</v>
      </c>
      <c r="AC3" s="7">
        <f>'Konstanta b triple'!$C$36</f>
        <v>71831.221109999984</v>
      </c>
      <c r="AD3" s="7">
        <f>'Konstanta c triple'!$C$36</f>
        <v>28380.482459999992</v>
      </c>
      <c r="AE3" s="7">
        <f>'Peramalan triple'!$C$36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Exponen'!$D$32</f>
        <v>15779.1384</v>
      </c>
      <c r="D4" s="7">
        <f>'Double Exponen'!$D$32</f>
        <v>12486.084480000001</v>
      </c>
      <c r="E4" s="7">
        <f>'triple exponen'!$D$32</f>
        <v>12414.590592000004</v>
      </c>
      <c r="F4" s="7">
        <f>'Konstanta a triple'!$D$32</f>
        <v>22293.752352000007</v>
      </c>
      <c r="G4" s="7">
        <f>'Konstanta b triple'!$D$32</f>
        <v>18228.516012000011</v>
      </c>
      <c r="H4" s="7">
        <f>'Konstanta c triple'!$D$32</f>
        <v>7248.5100720000009</v>
      </c>
      <c r="I4" s="7">
        <f>'Peramalan triple'!$D$26</f>
        <v>890.58000000000175</v>
      </c>
      <c r="J4" s="7">
        <f t="shared" ref="J4:J13" si="2">((B4-I4)/B4)*100</f>
        <v>95.764354717813887</v>
      </c>
      <c r="K4" s="7">
        <f t="shared" ref="K4:K13" si="3">ABS((B4-I4)/B4)*100</f>
        <v>95.764354717813887</v>
      </c>
      <c r="L4" s="7" t="str">
        <f>'Rekap 0,1'!J4</f>
        <v>Maret</v>
      </c>
      <c r="M4" s="7">
        <f>kg!$D$4</f>
        <v>389238.98</v>
      </c>
      <c r="N4" s="7">
        <f>'Single Exponen'!$D$33</f>
        <v>402462.89520000003</v>
      </c>
      <c r="O4" s="7">
        <f>'Double Exponen'!$D$33</f>
        <v>450784.96044000005</v>
      </c>
      <c r="P4" s="7">
        <f>'triple exponen'!$D$33</f>
        <v>453534.47997600009</v>
      </c>
      <c r="Q4" s="7">
        <f>'Konstanta a triple'!$D$33</f>
        <v>308568.2842559999</v>
      </c>
      <c r="R4" s="7">
        <f>'Konstanta b triple'!$D$33</f>
        <v>-260469.84888900042</v>
      </c>
      <c r="S4" s="7">
        <f>'Konstanta c triple'!$D$33</f>
        <v>-102538.22783399996</v>
      </c>
      <c r="T4" s="7">
        <f>'Peramalan triple'!$D$33</f>
        <v>135469.05149999954</v>
      </c>
      <c r="U4" s="7">
        <f t="shared" si="0"/>
        <v>65.19643240766905</v>
      </c>
      <c r="V4" s="7">
        <f t="shared" si="1"/>
        <v>65.19643240766905</v>
      </c>
      <c r="W4" s="7" t="str">
        <f>'Rekap 0,1'!S4</f>
        <v>Maret</v>
      </c>
      <c r="X4" s="7">
        <f>kg!$D$7</f>
        <v>19497.02</v>
      </c>
      <c r="Y4" s="7">
        <f>'Single Exponen'!$D$36</f>
        <v>17978.2104</v>
      </c>
      <c r="Z4" s="7">
        <f>'Double Exponen'!$D$36</f>
        <v>4047.6154800000004</v>
      </c>
      <c r="AA4" s="7">
        <f>'triple exponen'!$D$36</f>
        <v>3193.8072720000005</v>
      </c>
      <c r="AB4" s="7">
        <f>'Konstanta a triple'!$D$36</f>
        <v>44985.592032</v>
      </c>
      <c r="AC4" s="7">
        <f>'Konstanta b triple'!$D$36</f>
        <v>74837.637566999983</v>
      </c>
      <c r="AD4" s="7">
        <f>'Konstanta c triple'!$D$36</f>
        <v>29422.770101999991</v>
      </c>
      <c r="AE4" s="7">
        <f>'Peramalan triple'!$D$36</f>
        <v>127535.23049999999</v>
      </c>
      <c r="AF4" s="7">
        <f t="shared" ref="AF4:AF13" si="4">((X4-AE4)/X4)*100</f>
        <v>-554.12678706797237</v>
      </c>
      <c r="AG4" s="7">
        <f t="shared" ref="AG4:AG13" si="5">ABS((X4-AE4)/X4)*100</f>
        <v>554.12678706797237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Exponen'!$E$32</f>
        <v>12972.237359999999</v>
      </c>
      <c r="D5" s="7">
        <f>'Double Exponen'!$E$32</f>
        <v>12534.699768000002</v>
      </c>
      <c r="E5" s="7">
        <f>'triple exponen'!$E$32</f>
        <v>12486.656097600004</v>
      </c>
      <c r="F5" s="7">
        <f>'Konstanta a triple'!$E$32</f>
        <v>13799.268873599998</v>
      </c>
      <c r="G5" s="7">
        <f>'Konstanta b triple'!$E$32</f>
        <v>2262.9688145999871</v>
      </c>
      <c r="H5" s="7">
        <f>'Konstanta c triple'!$E$32</f>
        <v>876.36132359999624</v>
      </c>
      <c r="I5" s="7">
        <f>'Peramalan triple'!$E$26</f>
        <v>25244.715000000011</v>
      </c>
      <c r="J5" s="7">
        <f t="shared" si="2"/>
        <v>-127.40999209978958</v>
      </c>
      <c r="K5" s="7">
        <f t="shared" si="3"/>
        <v>127.40999209978958</v>
      </c>
      <c r="L5" s="7" t="str">
        <f>'Rekap 0,1'!J5</f>
        <v>April</v>
      </c>
      <c r="M5" s="7">
        <f>kg!$E$4</f>
        <v>505904.1</v>
      </c>
      <c r="N5" s="7">
        <f>'Single Exponen'!$E$33</f>
        <v>464527.61807999999</v>
      </c>
      <c r="O5" s="7">
        <f>'Double Exponen'!$E$33</f>
        <v>452159.22620400006</v>
      </c>
      <c r="P5" s="7">
        <f>'triple exponen'!$E$33</f>
        <v>452709.32771280012</v>
      </c>
      <c r="Q5" s="7">
        <f>'Konstanta a triple'!$E$33</f>
        <v>489814.50334079983</v>
      </c>
      <c r="R5" s="7">
        <f>'Konstanta b triple'!$E$33</f>
        <v>71841.373026299974</v>
      </c>
      <c r="S5" s="7">
        <f>'Konstanta c triple'!$E$33</f>
        <v>29066.610115799944</v>
      </c>
      <c r="T5" s="7">
        <f>'Peramalan triple'!$E$33</f>
        <v>-3170.6785500005062</v>
      </c>
      <c r="U5" s="7">
        <f t="shared" si="0"/>
        <v>100.62673509663205</v>
      </c>
      <c r="V5" s="7">
        <f t="shared" si="1"/>
        <v>100.62673509663205</v>
      </c>
      <c r="W5" s="7" t="str">
        <f>'Rekap 0,1'!S5</f>
        <v>April</v>
      </c>
      <c r="X5" s="7">
        <f>kg!$E$7</f>
        <v>18855.900000000001</v>
      </c>
      <c r="Y5" s="7">
        <f>'Single Exponen'!$E$36</f>
        <v>18504.82416</v>
      </c>
      <c r="Z5" s="7">
        <f>'Double Exponen'!$E$36</f>
        <v>5493.3363480000007</v>
      </c>
      <c r="AA5" s="7">
        <f>'triple exponen'!$E$36</f>
        <v>4573.5247176000012</v>
      </c>
      <c r="AB5" s="7">
        <f>'Konstanta a triple'!$E$36</f>
        <v>43607.988153599988</v>
      </c>
      <c r="AC5" s="7">
        <f>'Konstanta b triple'!$E$36</f>
        <v>69395.395967099961</v>
      </c>
      <c r="AD5" s="7">
        <f>'Konstanta c triple'!$E$36</f>
        <v>27206.271408599994</v>
      </c>
      <c r="AE5" s="7">
        <f>'Peramalan triple'!$E$36</f>
        <v>134534.61464999997</v>
      </c>
      <c r="AF5" s="7">
        <f t="shared" si="4"/>
        <v>-613.488163651695</v>
      </c>
      <c r="AG5" s="7">
        <f t="shared" si="5"/>
        <v>613.488163651695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Exponen'!$F$32</f>
        <v>10646.290944</v>
      </c>
      <c r="D6" s="7">
        <f>'Double Exponen'!$F$32</f>
        <v>12345.858885600002</v>
      </c>
      <c r="E6" s="7">
        <f>'triple exponen'!$F$32</f>
        <v>12402.177770400005</v>
      </c>
      <c r="F6" s="7">
        <f>'Konstanta a triple'!$F$32</f>
        <v>7303.4739455999952</v>
      </c>
      <c r="G6" s="7">
        <f>'Konstanta b triple'!$F$32</f>
        <v>-9327.7542716999978</v>
      </c>
      <c r="H6" s="7">
        <f>'Konstanta c triple'!$F$32</f>
        <v>-3697.3103777999977</v>
      </c>
      <c r="I6" s="7">
        <f>'Peramalan triple'!$F$26</f>
        <v>12306.99499999999</v>
      </c>
      <c r="J6" s="7">
        <f t="shared" si="2"/>
        <v>-35.306233962131287</v>
      </c>
      <c r="K6" s="7">
        <f t="shared" si="3"/>
        <v>35.306233962131287</v>
      </c>
      <c r="L6" s="7" t="str">
        <f>'Rekap 0,1'!J6</f>
        <v>Mei</v>
      </c>
      <c r="M6" s="7">
        <f>kg!$F$4</f>
        <v>201079.58</v>
      </c>
      <c r="N6" s="7">
        <f>'Single Exponen'!$F$33</f>
        <v>306458.795232</v>
      </c>
      <c r="O6" s="7">
        <f>'Double Exponen'!$F$33</f>
        <v>437589.18310680008</v>
      </c>
      <c r="P6" s="7">
        <f>'triple exponen'!$F$33</f>
        <v>443637.24094920018</v>
      </c>
      <c r="Q6" s="7">
        <f>'Konstanta a triple'!$F$33</f>
        <v>50246.077324799902</v>
      </c>
      <c r="R6" s="7">
        <f>'Konstanta b triple'!$F$33</f>
        <v>-712660.19319584966</v>
      </c>
      <c r="S6" s="7">
        <f>'Konstanta c triple'!$F$33</f>
        <v>-281435.24257289973</v>
      </c>
      <c r="T6" s="7">
        <f>'Peramalan triple'!$F$33</f>
        <v>576189.18142499984</v>
      </c>
      <c r="U6" s="7">
        <f t="shared" si="0"/>
        <v>-186.54783415849582</v>
      </c>
      <c r="V6" s="7">
        <f t="shared" si="1"/>
        <v>186.54783415849582</v>
      </c>
      <c r="W6" s="7" t="str">
        <f>'Rekap 0,1'!S6</f>
        <v>Mei</v>
      </c>
      <c r="X6" s="7">
        <f>kg!$F$7</f>
        <v>26851.599999999999</v>
      </c>
      <c r="Y6" s="7">
        <f>'Single Exponen'!$F$36</f>
        <v>23512.889663999998</v>
      </c>
      <c r="Z6" s="7">
        <f>'Double Exponen'!$F$36</f>
        <v>7295.2916796000009</v>
      </c>
      <c r="AA6" s="7">
        <f>'triple exponen'!$F$36</f>
        <v>6206.5848948000012</v>
      </c>
      <c r="AB6" s="7">
        <f>'Konstanta a triple'!$F$36</f>
        <v>54859.378847999986</v>
      </c>
      <c r="AC6" s="7">
        <f>'Konstanta b triple'!$F$36</f>
        <v>86733.073174949968</v>
      </c>
      <c r="AD6" s="7">
        <f>'Konstanta c triple'!$F$36</f>
        <v>34040.005199099993</v>
      </c>
      <c r="AE6" s="7">
        <f>'Peramalan triple'!$F$36</f>
        <v>126606.51982499995</v>
      </c>
      <c r="AF6" s="7">
        <f t="shared" si="4"/>
        <v>-371.50456518419747</v>
      </c>
      <c r="AG6" s="7">
        <f t="shared" si="5"/>
        <v>371.50456518419747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Exponen'!$G$32</f>
        <v>9169.7323775999994</v>
      </c>
      <c r="D7" s="7">
        <f>'Double Exponen'!$G$32</f>
        <v>12028.246234800003</v>
      </c>
      <c r="E7" s="7">
        <f>'triple exponen'!$G$32</f>
        <v>12177.818849040006</v>
      </c>
      <c r="F7" s="7">
        <f>'Konstanta a triple'!$G$32</f>
        <v>3602.27727744</v>
      </c>
      <c r="G7" s="7">
        <f>'Konstanta b triple'!$G$32</f>
        <v>-15462.153413009992</v>
      </c>
      <c r="H7" s="7">
        <f>'Konstanta c triple'!$G$32</f>
        <v>-6095.117796659998</v>
      </c>
      <c r="I7" s="7">
        <f>'Peramalan triple'!$G$26</f>
        <v>6702.19625000003</v>
      </c>
      <c r="J7" s="7">
        <f t="shared" si="2"/>
        <v>18.119713121963724</v>
      </c>
      <c r="K7" s="7">
        <f t="shared" si="3"/>
        <v>18.119713121963724</v>
      </c>
      <c r="L7" s="7" t="str">
        <f>'Rekap 0,1'!J7</f>
        <v>Juni</v>
      </c>
      <c r="M7" s="7">
        <f>kg!$G$4</f>
        <v>378271.8</v>
      </c>
      <c r="N7" s="7">
        <f>'Single Exponen'!$G$33</f>
        <v>349546.59809280001</v>
      </c>
      <c r="O7" s="7">
        <f>'Double Exponen'!$G$33</f>
        <v>428784.92460540007</v>
      </c>
      <c r="P7" s="7">
        <f>'triple exponen'!$G$33</f>
        <v>434725.8511429202</v>
      </c>
      <c r="Q7" s="7">
        <f>'Konstanta a triple'!$G$33</f>
        <v>197010.87160512002</v>
      </c>
      <c r="R7" s="7">
        <f>'Konstanta b triple'!$G$33</f>
        <v>-421209.26466610515</v>
      </c>
      <c r="S7" s="7">
        <f>'Konstanta c triple'!$G$33</f>
        <v>-164919.14994392981</v>
      </c>
      <c r="T7" s="7">
        <f>'Peramalan triple'!$G$33</f>
        <v>-803131.73715749953</v>
      </c>
      <c r="U7" s="7">
        <f t="shared" si="0"/>
        <v>312.31604818479718</v>
      </c>
      <c r="V7" s="7">
        <f t="shared" si="1"/>
        <v>312.31604818479718</v>
      </c>
      <c r="W7" s="7" t="str">
        <f>'Rekap 0,1'!S7</f>
        <v>Juni</v>
      </c>
      <c r="X7" s="7">
        <f>kg!$G$7</f>
        <v>17468.29</v>
      </c>
      <c r="Y7" s="7">
        <f>'Single Exponen'!$G$36</f>
        <v>19886.1298656</v>
      </c>
      <c r="Z7" s="7">
        <f>'Double Exponen'!$G$36</f>
        <v>8554.3754982000009</v>
      </c>
      <c r="AA7" s="7">
        <f>'triple exponen'!$G$36</f>
        <v>7615.2592568400014</v>
      </c>
      <c r="AB7" s="7">
        <f>'Konstanta a triple'!$G$36</f>
        <v>41610.522359039998</v>
      </c>
      <c r="AC7" s="7">
        <f>'Konstanta b triple'!$G$36</f>
        <v>59867.263821014982</v>
      </c>
      <c r="AD7" s="7">
        <f>'Konstanta c triple'!$G$36</f>
        <v>23383.435783589994</v>
      </c>
      <c r="AE7" s="7">
        <f>'Peramalan triple'!$G$36</f>
        <v>158612.45462249996</v>
      </c>
      <c r="AF7" s="7">
        <f t="shared" si="4"/>
        <v>-808.00218351366925</v>
      </c>
      <c r="AG7" s="7">
        <f t="shared" si="5"/>
        <v>808.00218351366925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Exponen'!$H$32</f>
        <v>14627.132951039999</v>
      </c>
      <c r="D8" s="7">
        <f>'Double Exponen'!$H$32</f>
        <v>12288.134906424002</v>
      </c>
      <c r="E8" s="7">
        <f>'triple exponen'!$H$32</f>
        <v>12244.008483470407</v>
      </c>
      <c r="F8" s="7">
        <f>'Konstanta a triple'!$H$32</f>
        <v>19261.002617318405</v>
      </c>
      <c r="G8" s="7">
        <f>'Konstanta b triple'!$H$32</f>
        <v>12974.842506281413</v>
      </c>
      <c r="H8" s="7">
        <f>'Konstanta c triple'!$H$32</f>
        <v>5163.4611487404027</v>
      </c>
      <c r="I8" s="7">
        <f>'Peramalan triple'!$H$26</f>
        <v>5504.791250000012</v>
      </c>
      <c r="J8" s="7">
        <f t="shared" si="2"/>
        <v>69.862191630076467</v>
      </c>
      <c r="K8" s="7">
        <f t="shared" si="3"/>
        <v>69.862191630076467</v>
      </c>
      <c r="L8" s="7" t="str">
        <f>'Rekap 0,1'!J8</f>
        <v>Juli</v>
      </c>
      <c r="M8" s="7">
        <f>kg!$H$4</f>
        <v>463478.68</v>
      </c>
      <c r="N8" s="7">
        <f>'Single Exponen'!$H$33</f>
        <v>417905.84723712003</v>
      </c>
      <c r="O8" s="7">
        <f>'Double Exponen'!$H$33</f>
        <v>427697.0168685721</v>
      </c>
      <c r="P8" s="7">
        <f>'triple exponen'!$H$33</f>
        <v>430508.55057831143</v>
      </c>
      <c r="Q8" s="7">
        <f>'Konstanta a triple'!$H$33</f>
        <v>401135.04168395547</v>
      </c>
      <c r="R8" s="7">
        <f>'Konstanta b triple'!$H$33</f>
        <v>-43477.752624243287</v>
      </c>
      <c r="S8" s="7">
        <f>'Konstanta c triple'!$H$33</f>
        <v>-15704.180823853643</v>
      </c>
      <c r="T8" s="7">
        <f>'Peramalan triple'!$H$33</f>
        <v>-306657.96803295007</v>
      </c>
      <c r="U8" s="7">
        <f t="shared" si="0"/>
        <v>166.16441732183884</v>
      </c>
      <c r="V8" s="7">
        <f t="shared" si="1"/>
        <v>166.16441732183884</v>
      </c>
      <c r="W8" s="7" t="str">
        <f>'Rekap 0,1'!S8</f>
        <v>Juli</v>
      </c>
      <c r="X8" s="7">
        <f>kg!$H$7</f>
        <v>53358.239999999998</v>
      </c>
      <c r="Y8" s="7">
        <f>'Single Exponen'!$H$36</f>
        <v>39969.395946239994</v>
      </c>
      <c r="Z8" s="7">
        <f>'Double Exponen'!$H$36</f>
        <v>11695.877543004002</v>
      </c>
      <c r="AA8" s="7">
        <f>'triple exponen'!$H$36</f>
        <v>10063.630228538403</v>
      </c>
      <c r="AB8" s="7">
        <f>'Konstanta a triple'!$H$36</f>
        <v>94884.185438246379</v>
      </c>
      <c r="AC8" s="7">
        <f>'Konstanta b triple'!$H$36</f>
        <v>152305.52084603181</v>
      </c>
      <c r="AD8" s="7">
        <f>'Konstanta c triple'!$H$36</f>
        <v>59942.859949733378</v>
      </c>
      <c r="AE8" s="7">
        <f>'Peramalan triple'!$H$36</f>
        <v>113169.50407184997</v>
      </c>
      <c r="AF8" s="7">
        <f t="shared" si="4"/>
        <v>-112.0937723430345</v>
      </c>
      <c r="AG8" s="7">
        <f t="shared" si="5"/>
        <v>112.0937723430345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Exponen'!$I$32</f>
        <v>12477.661180416</v>
      </c>
      <c r="D9" s="7">
        <f>'Double Exponen'!$I$32</f>
        <v>12307.087533823204</v>
      </c>
      <c r="E9" s="7">
        <f>'triple exponen'!$I$32</f>
        <v>12281.855913682086</v>
      </c>
      <c r="F9" s="7">
        <f>'Konstanta a triple'!$I$32</f>
        <v>12793.576853460474</v>
      </c>
      <c r="G9" s="7">
        <f>'Konstanta b triple'!$I$32</f>
        <v>855.39632900236916</v>
      </c>
      <c r="H9" s="7">
        <f>'Konstanta c triple'!$I$32</f>
        <v>327.01955951627764</v>
      </c>
      <c r="I9" s="7">
        <f>'Peramalan triple'!$I$26</f>
        <v>21708.656562499993</v>
      </c>
      <c r="J9" s="7">
        <f t="shared" si="2"/>
        <v>-96.553060500621044</v>
      </c>
      <c r="K9" s="7">
        <f t="shared" si="3"/>
        <v>96.553060500621044</v>
      </c>
      <c r="L9" s="7" t="str">
        <f>'Rekap 0,1'!J9</f>
        <v>Agustus</v>
      </c>
      <c r="M9" s="7">
        <f>kg!$I$4</f>
        <v>511860.86</v>
      </c>
      <c r="N9" s="7">
        <f>'Single Exponen'!$I$33</f>
        <v>474278.85489484802</v>
      </c>
      <c r="O9" s="7">
        <f>'Double Exponen'!$I$33</f>
        <v>432355.20067119971</v>
      </c>
      <c r="P9" s="7">
        <f>'triple exponen'!$I$33</f>
        <v>431616.54063404445</v>
      </c>
      <c r="Q9" s="7">
        <f>'Konstanta a triple'!$I$33</f>
        <v>557387.50330498931</v>
      </c>
      <c r="R9" s="7">
        <f>'Konstanta b triple'!$I$33</f>
        <v>232773.58235475625</v>
      </c>
      <c r="S9" s="7">
        <f>'Konstanta c triple'!$I$33</f>
        <v>92666.236919609335</v>
      </c>
      <c r="T9" s="7">
        <f>'Peramalan triple'!$I$33</f>
        <v>349805.19864778541</v>
      </c>
      <c r="U9" s="7">
        <f t="shared" si="0"/>
        <v>31.660100237438467</v>
      </c>
      <c r="V9" s="7">
        <f t="shared" si="1"/>
        <v>31.660100237438467</v>
      </c>
      <c r="W9" s="7" t="str">
        <f>'Rekap 0,1'!S9</f>
        <v>Agustus</v>
      </c>
      <c r="X9" s="7">
        <f>kg!$I$7</f>
        <v>31973.26</v>
      </c>
      <c r="Y9" s="7">
        <f>'Single Exponen'!$I$36</f>
        <v>35171.714378495999</v>
      </c>
      <c r="Z9" s="7">
        <f>'Double Exponen'!$I$36</f>
        <v>14043.461226553203</v>
      </c>
      <c r="AA9" s="7">
        <f>'triple exponen'!$I$36</f>
        <v>12451.528827347283</v>
      </c>
      <c r="AB9" s="7">
        <f>'Konstanta a triple'!$I$36</f>
        <v>75836.288283175672</v>
      </c>
      <c r="AC9" s="7">
        <f>'Konstanta b triple'!$I$36</f>
        <v>112279.70283295379</v>
      </c>
      <c r="AD9" s="7">
        <f>'Konstanta c triple'!$I$36</f>
        <v>43956.721693657964</v>
      </c>
      <c r="AE9" s="7">
        <f>'Peramalan triple'!$I$36</f>
        <v>277161.13625914487</v>
      </c>
      <c r="AF9" s="7">
        <f t="shared" si="4"/>
        <v>-766.85291477673798</v>
      </c>
      <c r="AG9" s="7">
        <f t="shared" si="5"/>
        <v>766.85291477673798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Exponen'!$J$32</f>
        <v>11524.794472166399</v>
      </c>
      <c r="D10" s="7">
        <f>'Double Exponen'!$J$32</f>
        <v>12228.858227657525</v>
      </c>
      <c r="E10" s="7">
        <f>'triple exponen'!$J$32</f>
        <v>12250.057302067351</v>
      </c>
      <c r="F10" s="7">
        <f>'Konstanta a triple'!$J$32</f>
        <v>10137.866035593976</v>
      </c>
      <c r="G10" s="7">
        <f>'Konstanta b triple'!$J$32</f>
        <v>-3872.9124426970511</v>
      </c>
      <c r="H10" s="7">
        <f>'Konstanta c triple'!$J$32</f>
        <v>-1536.4455324329263</v>
      </c>
      <c r="I10" s="7">
        <f>'Peramalan triple'!$J$26</f>
        <v>11904.225937500018</v>
      </c>
      <c r="J10" s="7">
        <f t="shared" si="2"/>
        <v>-9.3178867584061624</v>
      </c>
      <c r="K10" s="7">
        <f t="shared" si="3"/>
        <v>9.3178867584061624</v>
      </c>
      <c r="L10" s="7" t="str">
        <f>'Rekap 0,1'!J10</f>
        <v>September</v>
      </c>
      <c r="M10" s="7">
        <f>kg!$J$4</f>
        <v>513170.2</v>
      </c>
      <c r="N10" s="7">
        <f>'Single Exponen'!$J$33</f>
        <v>497613.66195793921</v>
      </c>
      <c r="O10" s="7">
        <f>'Double Exponen'!$J$33</f>
        <v>438881.04679987364</v>
      </c>
      <c r="P10" s="7">
        <f>'triple exponen'!$J$33</f>
        <v>435975.24433354195</v>
      </c>
      <c r="Q10" s="7">
        <f>'Konstanta a triple'!$J$33</f>
        <v>612173.08980773878</v>
      </c>
      <c r="R10" s="7">
        <f>'Konstanta b triple'!$J$33</f>
        <v>318384.52509050083</v>
      </c>
      <c r="S10" s="7">
        <f>'Konstanta c triple'!$J$33</f>
        <v>125610.3285564012</v>
      </c>
      <c r="T10" s="7">
        <f>'Peramalan triple'!$J$33</f>
        <v>836494.2041195503</v>
      </c>
      <c r="U10" s="7">
        <f t="shared" si="0"/>
        <v>-63.005218175090896</v>
      </c>
      <c r="V10" s="7">
        <f t="shared" si="1"/>
        <v>63.005218175090896</v>
      </c>
      <c r="W10" s="7" t="str">
        <f>'Rekap 0,1'!S10</f>
        <v>September</v>
      </c>
      <c r="X10" s="7">
        <f>kg!$J$7</f>
        <v>28522.799999999999</v>
      </c>
      <c r="Y10" s="7">
        <f>'Single Exponen'!$J$36</f>
        <v>31182.3657513984</v>
      </c>
      <c r="Z10" s="7">
        <f>'Double Exponen'!$J$36</f>
        <v>15757.351679037722</v>
      </c>
      <c r="AA10" s="7">
        <f>'triple exponen'!$J$36</f>
        <v>14435.022538361547</v>
      </c>
      <c r="AB10" s="7">
        <f>'Konstanta a triple'!$J$36</f>
        <v>60710.064755443571</v>
      </c>
      <c r="AC10" s="7">
        <f>'Konstanta b triple'!$J$36</f>
        <v>81311.096451739562</v>
      </c>
      <c r="AD10" s="7">
        <f>'Konstanta c triple'!$J$36</f>
        <v>31731.041096290126</v>
      </c>
      <c r="AE10" s="7">
        <f>'Peramalan triple'!$J$36</f>
        <v>210094.35196295843</v>
      </c>
      <c r="AF10" s="7">
        <f t="shared" si="4"/>
        <v>-636.58389766417895</v>
      </c>
      <c r="AG10" s="7">
        <f t="shared" si="5"/>
        <v>636.58389766417895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Exponen'!$K$32</f>
        <v>9653.72178886656</v>
      </c>
      <c r="D11" s="7">
        <f>'Double Exponen'!$K$32</f>
        <v>11971.344583778429</v>
      </c>
      <c r="E11" s="7">
        <f>'triple exponen'!$K$32</f>
        <v>12082.829671093999</v>
      </c>
      <c r="F11" s="7">
        <f>'Konstanta a triple'!$K$32</f>
        <v>5129.9612863583916</v>
      </c>
      <c r="G11" s="7">
        <f>'Konstanta b triple'!$K$32</f>
        <v>-12576.752236202547</v>
      </c>
      <c r="H11" s="7">
        <f>'Konstanta c triple'!$K$32</f>
        <v>-4963.8098420916722</v>
      </c>
      <c r="I11" s="7">
        <f>'Peramalan triple'!$K$26</f>
        <v>9728.9653906249914</v>
      </c>
      <c r="J11" s="7">
        <f t="shared" si="2"/>
        <v>-15.733665193472918</v>
      </c>
      <c r="K11" s="7">
        <f t="shared" si="3"/>
        <v>15.733665193472918</v>
      </c>
      <c r="L11" s="7" t="str">
        <f>'Rekap 0,1'!J11</f>
        <v>Oktober</v>
      </c>
      <c r="M11" s="7">
        <f>kg!$K$4</f>
        <v>525723.46</v>
      </c>
      <c r="N11" s="7">
        <f>'Single Exponen'!$K$33</f>
        <v>514479.54078317562</v>
      </c>
      <c r="O11" s="7">
        <f>'Double Exponen'!$K$33</f>
        <v>446440.8961982039</v>
      </c>
      <c r="P11" s="7">
        <f>'triple exponen'!$K$33</f>
        <v>442254.63545233913</v>
      </c>
      <c r="Q11" s="7">
        <f>'Konstanta a triple'!$K$33</f>
        <v>646370.5692072541</v>
      </c>
      <c r="R11" s="7">
        <f>'Konstanta b triple'!$K$33</f>
        <v>365449.05021377344</v>
      </c>
      <c r="S11" s="7">
        <f>'Konstanta c triple'!$K$33</f>
        <v>143667.86363799061</v>
      </c>
      <c r="T11" s="7">
        <f>'Peramalan triple'!$K$33</f>
        <v>993362.77917644021</v>
      </c>
      <c r="U11" s="7">
        <f t="shared" si="0"/>
        <v>-88.951579063342592</v>
      </c>
      <c r="V11" s="7">
        <f t="shared" si="1"/>
        <v>88.951579063342592</v>
      </c>
      <c r="W11" s="7" t="str">
        <f>'Rekap 0,1'!S11</f>
        <v>Oktober</v>
      </c>
      <c r="X11" s="7">
        <f>kg!$K$7</f>
        <v>51078.26</v>
      </c>
      <c r="Y11" s="7">
        <f>'Single Exponen'!$K$36</f>
        <v>43119.902300559363</v>
      </c>
      <c r="Z11" s="7">
        <f>'Double Exponen'!$K$36</f>
        <v>18493.606741189888</v>
      </c>
      <c r="AA11" s="7">
        <f>'triple exponen'!$K$36</f>
        <v>16870.173060058554</v>
      </c>
      <c r="AB11" s="7">
        <f>'Konstanta a triple'!$K$36</f>
        <v>90749.05973816698</v>
      </c>
      <c r="AC11" s="7">
        <f>'Konstanta b triple'!$K$36</f>
        <v>131826.2485867865</v>
      </c>
      <c r="AD11" s="7">
        <f>'Konstanta c triple'!$K$36</f>
        <v>51756.439226035807</v>
      </c>
      <c r="AE11" s="7">
        <f>'Peramalan triple'!$K$36</f>
        <v>157886.6817553282</v>
      </c>
      <c r="AF11" s="7">
        <f t="shared" si="4"/>
        <v>-209.10740059533782</v>
      </c>
      <c r="AG11" s="7">
        <f t="shared" si="5"/>
        <v>209.10740059533782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Exponen'!$L$32</f>
        <v>14751.458715546623</v>
      </c>
      <c r="D12" s="7">
        <f>'Double Exponen'!$L$32</f>
        <v>12249.35599695525</v>
      </c>
      <c r="E12" s="7">
        <f>'triple exponen'!$L$32</f>
        <v>12182.745466610751</v>
      </c>
      <c r="F12" s="7">
        <f>'Konstanta a triple'!$L$32</f>
        <v>19689.053622384876</v>
      </c>
      <c r="G12" s="7">
        <f>'Konstanta b triple'!$L$32</f>
        <v>13799.559354405425</v>
      </c>
      <c r="H12" s="7">
        <f>'Konstanta c triple'!$L$32</f>
        <v>5479.8574235554679</v>
      </c>
      <c r="I12" s="7">
        <f>'Peramalan triple'!$L$26</f>
        <v>6150.978203124997</v>
      </c>
      <c r="J12" s="7">
        <f t="shared" si="2"/>
        <v>66.110219570164134</v>
      </c>
      <c r="K12" s="7">
        <f t="shared" si="3"/>
        <v>66.110219570164134</v>
      </c>
      <c r="L12" s="7" t="str">
        <f>'Rekap 0,1'!J12</f>
        <v>November</v>
      </c>
      <c r="M12" s="7">
        <f>kg!$L$4</f>
        <v>480711.96</v>
      </c>
      <c r="N12" s="7">
        <f>'Single Exponen'!$L$33</f>
        <v>494218.99231327022</v>
      </c>
      <c r="O12" s="7">
        <f>'Double Exponen'!$L$33</f>
        <v>451218.70580971055</v>
      </c>
      <c r="P12" s="7">
        <f>'triple exponen'!$L$33</f>
        <v>447633.07766676205</v>
      </c>
      <c r="Q12" s="7">
        <f>'Konstanta a triple'!$L$33</f>
        <v>576633.93717744108</v>
      </c>
      <c r="R12" s="7">
        <f>'Konstanta b triple'!$L$33</f>
        <v>227085.8954928609</v>
      </c>
      <c r="S12" s="7">
        <f>'Konstanta c triple'!$L$33</f>
        <v>88682.981311375144</v>
      </c>
      <c r="T12" s="7">
        <f>'Peramalan triple'!$L$33</f>
        <v>1083653.551240023</v>
      </c>
      <c r="U12" s="7">
        <f t="shared" si="0"/>
        <v>-125.42679221877961</v>
      </c>
      <c r="V12" s="7">
        <f t="shared" si="1"/>
        <v>125.42679221877961</v>
      </c>
      <c r="W12" s="7" t="str">
        <f>'Rekap 0,1'!S12</f>
        <v>November</v>
      </c>
      <c r="X12" s="7">
        <f>kg!$L$7</f>
        <v>50149.88</v>
      </c>
      <c r="Y12" s="7">
        <f>'Single Exponen'!$L$36</f>
        <v>47337.888920223741</v>
      </c>
      <c r="Z12" s="7">
        <f>'Double Exponen'!$L$36</f>
        <v>21378.034959093275</v>
      </c>
      <c r="AA12" s="7">
        <f>'triple exponen'!$L$36</f>
        <v>19574.890199479389</v>
      </c>
      <c r="AB12" s="7">
        <f>'Konstanta a triple'!$L$36</f>
        <v>97454.452082870775</v>
      </c>
      <c r="AC12" s="7">
        <f>'Konstanta b triple'!$L$36</f>
        <v>138586.20639795155</v>
      </c>
      <c r="AD12" s="7">
        <f>'Konstanta c triple'!$L$36</f>
        <v>54352.595703412291</v>
      </c>
      <c r="AE12" s="7">
        <f>'Peramalan triple'!$L$36</f>
        <v>248453.52793797138</v>
      </c>
      <c r="AF12" s="7">
        <f t="shared" si="4"/>
        <v>-395.42197895183671</v>
      </c>
      <c r="AG12" s="7">
        <f t="shared" si="5"/>
        <v>395.42197895183671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Exponen'!$M$32</f>
        <v>13043.81748621865</v>
      </c>
      <c r="D13" s="7">
        <f>'Double Exponen'!$M$32</f>
        <v>12328.802145881591</v>
      </c>
      <c r="E13" s="7">
        <f>'triple exponen'!$M$32</f>
        <v>12270.379474173256</v>
      </c>
      <c r="F13" s="7">
        <f>'Konstanta a triple'!$M$32</f>
        <v>14415.425495184434</v>
      </c>
      <c r="G13" s="7">
        <f>'Konstanta b triple'!$M$32</f>
        <v>3780.9677685990678</v>
      </c>
      <c r="H13" s="7">
        <f>'Konstanta c triple'!$M$32</f>
        <v>1477.3335044146286</v>
      </c>
      <c r="I13" s="7">
        <f>'Peramalan triple'!$M$26</f>
        <v>21256.787753906276</v>
      </c>
      <c r="J13" s="7">
        <f t="shared" si="2"/>
        <v>-78.547596961597037</v>
      </c>
      <c r="K13" s="7">
        <f t="shared" si="3"/>
        <v>78.547596961597037</v>
      </c>
      <c r="L13" s="7" t="str">
        <f>'Rekap 0,1'!J13</f>
        <v>Desember</v>
      </c>
      <c r="M13" s="7">
        <f>kg!$M$4</f>
        <v>428532.64</v>
      </c>
      <c r="N13" s="7">
        <f>'Single Exponen'!$M$33</f>
        <v>454807.18092530814</v>
      </c>
      <c r="O13" s="7">
        <f>'Double Exponen'!$M$33</f>
        <v>451577.55332127039</v>
      </c>
      <c r="P13" s="7">
        <f>'triple exponen'!$M$33</f>
        <v>449999.76305946708</v>
      </c>
      <c r="Q13" s="7">
        <f>'Konstanta a triple'!$M$33</f>
        <v>459688.64587158011</v>
      </c>
      <c r="R13" s="7">
        <f>'Konstanta b triple'!$M$33</f>
        <v>11658.270442773279</v>
      </c>
      <c r="S13" s="7">
        <f>'Konstanta c triple'!$M$33</f>
        <v>3716.6340200274999</v>
      </c>
      <c r="T13" s="7">
        <f>'Peramalan triple'!$M$33</f>
        <v>848061.32332598954</v>
      </c>
      <c r="U13" s="7">
        <f t="shared" si="0"/>
        <v>-97.898886611295126</v>
      </c>
      <c r="V13" s="7">
        <f t="shared" si="1"/>
        <v>97.898886611295126</v>
      </c>
      <c r="W13" s="7" t="str">
        <f>'Rekap 0,1'!S13</f>
        <v>Desember</v>
      </c>
      <c r="X13" s="7">
        <f>kg!$M$7</f>
        <v>42897.42</v>
      </c>
      <c r="Y13" s="7">
        <f>'Single Exponen'!$M$36</f>
        <v>44673.607568089494</v>
      </c>
      <c r="Z13" s="7">
        <f>'Double Exponen'!$M$36</f>
        <v>23707.592219992897</v>
      </c>
      <c r="AA13" s="7">
        <f>'triple exponen'!$M$36</f>
        <v>22054.511411787498</v>
      </c>
      <c r="AB13" s="7">
        <f>'Konstanta a triple'!$M$36</f>
        <v>84952.55745607728</v>
      </c>
      <c r="AC13" s="7">
        <f>'Konstanta b triple'!$M$36</f>
        <v>111114.87799919605</v>
      </c>
      <c r="AD13" s="7">
        <f>'Konstanta c triple'!$M$36</f>
        <v>43454.102714755187</v>
      </c>
      <c r="AE13" s="7">
        <f>'Peramalan triple'!$M$36</f>
        <v>263216.9563325285</v>
      </c>
      <c r="AF13" s="7">
        <f t="shared" si="4"/>
        <v>-513.59624036254047</v>
      </c>
      <c r="AG13" s="7">
        <f t="shared" si="5"/>
        <v>513.59624036254047</v>
      </c>
    </row>
    <row r="14" spans="1:33" x14ac:dyDescent="0.3">
      <c r="J14" s="7">
        <f>(SUM(J3:J13)/12)</f>
        <v>-22.985420574131037</v>
      </c>
      <c r="K14" s="7">
        <f>(SUM(K3:K13)/12)</f>
        <v>64.628167080800736</v>
      </c>
      <c r="U14" s="7">
        <f>(SUM(U3:U13)/12)</f>
        <v>8.1958336035337869</v>
      </c>
      <c r="V14" s="7">
        <f>(SUM(V3:V13)/12)</f>
        <v>104.46478860452883</v>
      </c>
      <c r="AF14" s="7">
        <f>(SUM(AF3:AF13)/12)</f>
        <v>-407.06939216916976</v>
      </c>
      <c r="AG14" s="7">
        <f>(SUM(AG3:AG13)/12)</f>
        <v>423.06025851603027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Exponen'!$B$34</f>
        <v>23458.3</v>
      </c>
      <c r="O16" s="7">
        <f>'Double Exponen'!$B$34</f>
        <v>23458.3</v>
      </c>
      <c r="P16" s="7">
        <f>'triple exponen'!$B$34</f>
        <v>23458.3</v>
      </c>
      <c r="Q16" s="7">
        <f>'Konstanta a triple'!$B$34</f>
        <v>23458.3</v>
      </c>
      <c r="R16" s="7">
        <f>'Konstanta b triple'!$B$34</f>
        <v>-1.364242052659392E-11</v>
      </c>
      <c r="S16" s="7">
        <f>'Konstanta c triple'!$B$34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Exponen'!$C$34</f>
        <v>34713.279999999999</v>
      </c>
      <c r="O17" s="7">
        <f>'Double Exponen'!$C$34</f>
        <v>24583.797999999999</v>
      </c>
      <c r="P17" s="7">
        <f>'triple exponen'!$C$34</f>
        <v>24133.5988</v>
      </c>
      <c r="Q17" s="7">
        <f>'Konstanta a triple'!$C$34</f>
        <v>54522.044799999996</v>
      </c>
      <c r="R17" s="7">
        <f>'Konstanta b triple'!$C$34</f>
        <v>55121.26455</v>
      </c>
      <c r="S17" s="7">
        <f>'Konstanta c triple'!$C$34</f>
        <v>21778.386299999998</v>
      </c>
      <c r="T17" s="7">
        <f>'Peramalan triple'!$C$34</f>
        <v>23458.299999999985</v>
      </c>
      <c r="U17" s="7">
        <f t="shared" ref="U17:U27" si="6">((M17-T17)/M17)*100</f>
        <v>44.433469298806664</v>
      </c>
      <c r="V17" s="7">
        <f t="shared" ref="V17:V27" si="7">ABS((M17-T17)/M17)*100</f>
        <v>44.433469298806664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Exponen'!$D$34</f>
        <v>31136.451999999997</v>
      </c>
      <c r="O18" s="7">
        <f>'Double Exponen'!$D$34</f>
        <v>25239.063399999999</v>
      </c>
      <c r="P18" s="7">
        <f>'triple exponen'!$D$34</f>
        <v>24796.877560000001</v>
      </c>
      <c r="Q18" s="7">
        <f>'Konstanta a triple'!$D$34</f>
        <v>42489.043360000003</v>
      </c>
      <c r="R18" s="7">
        <f>'Konstanta b triple'!$D$34</f>
        <v>31348.794284999982</v>
      </c>
      <c r="S18" s="7">
        <f>'Konstanta c triple'!$D$34</f>
        <v>12274.206209999998</v>
      </c>
      <c r="T18" s="7">
        <f>'Peramalan triple'!$D$34</f>
        <v>120532.5025</v>
      </c>
      <c r="U18" s="7">
        <f t="shared" si="6"/>
        <v>-319.21578226134619</v>
      </c>
      <c r="V18" s="7">
        <f t="shared" si="7"/>
        <v>319.21578226134619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Exponen'!$E$34</f>
        <v>36080.720799999996</v>
      </c>
      <c r="O19" s="7">
        <f>'Double Exponen'!$E$34</f>
        <v>26323.229139999999</v>
      </c>
      <c r="P19" s="7">
        <f>'triple exponen'!$E$34</f>
        <v>25712.688507999999</v>
      </c>
      <c r="Q19" s="7">
        <f>'Konstanta a triple'!$E$34</f>
        <v>54985.163487999984</v>
      </c>
      <c r="R19" s="7">
        <f>'Konstanta b triple'!$E$34</f>
        <v>52367.410480499966</v>
      </c>
      <c r="S19" s="7">
        <f>'Konstanta c triple'!$E$34</f>
        <v>20580.639812999987</v>
      </c>
      <c r="T19" s="7">
        <f>'Peramalan triple'!$E$34</f>
        <v>79974.940749999994</v>
      </c>
      <c r="U19" s="7">
        <f t="shared" si="6"/>
        <v>-103.10116019798407</v>
      </c>
      <c r="V19" s="7">
        <f t="shared" si="7"/>
        <v>103.10116019798407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Exponen'!$F$34</f>
        <v>28749.248319999999</v>
      </c>
      <c r="O20" s="7">
        <f>'Double Exponen'!$F$34</f>
        <v>26565.831058</v>
      </c>
      <c r="P20" s="7">
        <f>'triple exponen'!$F$34</f>
        <v>26224.574037999999</v>
      </c>
      <c r="Q20" s="7">
        <f>'Konstanta a triple'!$F$34</f>
        <v>32774.825823999992</v>
      </c>
      <c r="R20" s="7">
        <f>'Konstanta b triple'!$F$34</f>
        <v>10874.036891249991</v>
      </c>
      <c r="S20" s="7">
        <f>'Konstanta c triple'!$F$34</f>
        <v>4144.8605444999948</v>
      </c>
      <c r="T20" s="7">
        <f>'Peramalan triple'!$F$34</f>
        <v>117642.89387499995</v>
      </c>
      <c r="U20" s="7">
        <f t="shared" si="6"/>
        <v>-393.02181695695151</v>
      </c>
      <c r="V20" s="7">
        <f t="shared" si="7"/>
        <v>393.02181695695151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Exponen'!$G$34</f>
        <v>45829.839328000002</v>
      </c>
      <c r="O21" s="7">
        <f>'Double Exponen'!$G$34</f>
        <v>28492.231885000001</v>
      </c>
      <c r="P21" s="7">
        <f>'triple exponen'!$G$34</f>
        <v>27585.168746200005</v>
      </c>
      <c r="Q21" s="7">
        <f>'Konstanta a triple'!$G$34</f>
        <v>79597.9910752</v>
      </c>
      <c r="R21" s="7">
        <f>'Konstanta b triple'!$G$34</f>
        <v>93782.406419325009</v>
      </c>
      <c r="S21" s="7">
        <f>'Konstanta c triple'!$G$34</f>
        <v>36968.724684450004</v>
      </c>
      <c r="T21" s="7">
        <f>'Peramalan triple'!$G$34</f>
        <v>45721.292987499983</v>
      </c>
      <c r="U21" s="7">
        <f t="shared" si="6"/>
        <v>20.091278997114522</v>
      </c>
      <c r="V21" s="7">
        <f t="shared" si="7"/>
        <v>20.091278997114522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Exponen'!$H$34</f>
        <v>68573.955731199996</v>
      </c>
      <c r="O22" s="7">
        <f>'Double Exponen'!$H$34</f>
        <v>32500.404269620001</v>
      </c>
      <c r="P22" s="7">
        <f>'triple exponen'!$H$34</f>
        <v>30534.310060252006</v>
      </c>
      <c r="Q22" s="7">
        <f>'Konstanta a triple'!$H$34</f>
        <v>138754.96444499199</v>
      </c>
      <c r="R22" s="7">
        <f>'Konstanta b triple'!$H$34</f>
        <v>194803.58835774442</v>
      </c>
      <c r="S22" s="7">
        <f>'Konstanta c triple'!$H$34</f>
        <v>76741.778817476981</v>
      </c>
      <c r="T22" s="7">
        <f>'Peramalan triple'!$H$34</f>
        <v>191864.75983675002</v>
      </c>
      <c r="U22" s="7">
        <f t="shared" si="6"/>
        <v>-129.12863754691793</v>
      </c>
      <c r="V22" s="7">
        <f t="shared" si="7"/>
        <v>129.12863754691793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Exponen'!$I$34</f>
        <v>59861.50229248</v>
      </c>
      <c r="O23" s="7">
        <f>'Double Exponen'!$I$34</f>
        <v>35236.514071906</v>
      </c>
      <c r="P23" s="7">
        <f>'triple exponen'!$I$34</f>
        <v>33355.632467244403</v>
      </c>
      <c r="Q23" s="7">
        <f>'Konstanta a triple'!$I$34</f>
        <v>107230.5971289664</v>
      </c>
      <c r="R23" s="7">
        <f>'Konstanta b triple'!$I$34</f>
        <v>130756.92212149962</v>
      </c>
      <c r="S23" s="7">
        <f>'Konstanta c triple'!$I$34</f>
        <v>51174.239885802897</v>
      </c>
      <c r="T23" s="7">
        <f>'Peramalan triple'!$I$34</f>
        <v>371929.44221147487</v>
      </c>
      <c r="U23" s="7">
        <f t="shared" si="6"/>
        <v>-588.08033976059676</v>
      </c>
      <c r="V23" s="7">
        <f t="shared" si="7"/>
        <v>588.08033976059676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Exponen'!$J$34</f>
        <v>30703.300916992001</v>
      </c>
      <c r="O24" s="7">
        <f>'Double Exponen'!$J$34</f>
        <v>34783.192756414603</v>
      </c>
      <c r="P24" s="7">
        <f>'triple exponen'!$J$34</f>
        <v>34212.168640746531</v>
      </c>
      <c r="Q24" s="7">
        <f>'Konstanta a triple'!$J$34</f>
        <v>21972.493122478729</v>
      </c>
      <c r="R24" s="7">
        <f>'Konstanta b triple'!$J$34</f>
        <v>-25304.866073882906</v>
      </c>
      <c r="S24" s="7">
        <f>'Konstanta c triple'!$J$34</f>
        <v>-10464.560898954021</v>
      </c>
      <c r="T24" s="7">
        <f>'Peramalan triple'!$J$34</f>
        <v>263574.63919336745</v>
      </c>
      <c r="U24" s="7">
        <f t="shared" si="6"/>
        <v>-2239.8698494683958</v>
      </c>
      <c r="V24" s="7">
        <f t="shared" si="7"/>
        <v>2239.8698494683958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Exponen'!$K$34</f>
        <v>26810.320366796801</v>
      </c>
      <c r="O25" s="7">
        <f>'Double Exponen'!$K$34</f>
        <v>33985.905517452826</v>
      </c>
      <c r="P25" s="7">
        <f>'triple exponen'!$K$34</f>
        <v>34076.410766770314</v>
      </c>
      <c r="Q25" s="7">
        <f>'Konstanta a triple'!$K$34</f>
        <v>12549.655314802243</v>
      </c>
      <c r="R25" s="7">
        <f>'Konstanta b triple'!$K$34</f>
        <v>-39989.33231900548</v>
      </c>
      <c r="S25" s="7">
        <f>'Konstanta c triple'!$K$34</f>
        <v>-15941.429778011696</v>
      </c>
      <c r="T25" s="7">
        <f>'Peramalan triple'!$K$34</f>
        <v>-8564.6534008811868</v>
      </c>
      <c r="U25" s="7">
        <f t="shared" si="6"/>
        <v>135.36920669370716</v>
      </c>
      <c r="V25" s="7">
        <f t="shared" si="7"/>
        <v>135.36920669370716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Exponen'!$L$34</f>
        <v>26840.488146718722</v>
      </c>
      <c r="O26" s="7">
        <f>'Double Exponen'!$L$34</f>
        <v>33271.363780379412</v>
      </c>
      <c r="P26" s="7">
        <f>'triple exponen'!$L$34</f>
        <v>33593.382574935778</v>
      </c>
      <c r="Q26" s="7">
        <f>'Konstanta a triple'!$L$34</f>
        <v>14300.75567395371</v>
      </c>
      <c r="R26" s="7">
        <f>'Konstanta b triple'!$L$34</f>
        <v>-34845.347911796365</v>
      </c>
      <c r="S26" s="7">
        <f>'Konstanta c triple'!$L$34</f>
        <v>-13744.927887984724</v>
      </c>
      <c r="T26" s="7">
        <f>'Peramalan triple'!$L$34</f>
        <v>-35410.391893209082</v>
      </c>
      <c r="U26" s="7">
        <f t="shared" si="6"/>
        <v>231.83023422116068</v>
      </c>
      <c r="V26" s="7">
        <f t="shared" si="7"/>
        <v>231.83023422116068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Exponen'!$M$34</f>
        <v>31047.815258687489</v>
      </c>
      <c r="O27" s="7">
        <f>'Double Exponen'!$M$34</f>
        <v>33049.008928210227</v>
      </c>
      <c r="P27" s="7">
        <f>'triple exponen'!$M$34</f>
        <v>33266.758386900452</v>
      </c>
      <c r="Q27" s="7">
        <f>'Konstanta a triple'!$M$34</f>
        <v>27263.177378332235</v>
      </c>
      <c r="R27" s="7">
        <f>'Konstanta b triple'!$M$34</f>
        <v>-10358.497873968252</v>
      </c>
      <c r="S27" s="7">
        <f>'Konstanta c triple'!$M$34</f>
        <v>-4012.7494743731449</v>
      </c>
      <c r="T27" s="7">
        <f>'Peramalan triple'!$M$34</f>
        <v>-27417.056181835018</v>
      </c>
      <c r="U27" s="7">
        <f t="shared" si="6"/>
        <v>180.9892746570732</v>
      </c>
      <c r="V27" s="7">
        <f t="shared" si="7"/>
        <v>180.9892746570732</v>
      </c>
    </row>
    <row r="28" spans="12:22" x14ac:dyDescent="0.3">
      <c r="U28" s="7">
        <f>(SUM(U17:U27)/12)</f>
        <v>-263.30867686036083</v>
      </c>
      <c r="V28" s="7">
        <f>(SUM(V17:V27)/12)</f>
        <v>365.42758750500457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Exponen'!$B$35</f>
        <v>4698.6499999999996</v>
      </c>
      <c r="O30" s="7">
        <f>'Double Exponen'!$B$35</f>
        <v>4698.6499999999996</v>
      </c>
      <c r="P30" s="7">
        <f>'triple exponen'!$B$35</f>
        <v>4698.6499999999996</v>
      </c>
      <c r="Q30" s="7">
        <f>'Konstanta a triple'!$B$35</f>
        <v>4698.6499999999996</v>
      </c>
      <c r="R30" s="7">
        <f>'Konstanta b triple'!$B$35</f>
        <v>0</v>
      </c>
      <c r="S30" s="7">
        <f>'Konstanta c triple'!$B$35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Exponen'!$C$35</f>
        <v>7066.46</v>
      </c>
      <c r="O31" s="7">
        <f>'Double Exponen'!$C$35</f>
        <v>4935.4310000000005</v>
      </c>
      <c r="P31" s="7">
        <f>'triple exponen'!$C$35</f>
        <v>4840.7186000000002</v>
      </c>
      <c r="Q31" s="7">
        <f>'Konstanta a triple'!$C$35</f>
        <v>11233.8056</v>
      </c>
      <c r="R31" s="7">
        <f>'Konstanta b triple'!$C$35</f>
        <v>11596.349474999992</v>
      </c>
      <c r="S31" s="7">
        <f>'Konstanta c triple'!$C$35</f>
        <v>4581.7123499999971</v>
      </c>
      <c r="T31" s="7">
        <f>'Peramalan triple'!$C$35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Exponen'!$D$35</f>
        <v>7620.2540000000008</v>
      </c>
      <c r="O32" s="7">
        <f>'Double Exponen'!$D$35</f>
        <v>5203.9133000000002</v>
      </c>
      <c r="P32" s="7">
        <f>'triple exponen'!$D$35</f>
        <v>5058.6354200000005</v>
      </c>
      <c r="Q32" s="7">
        <f>'Konstanta a triple'!$D$35</f>
        <v>12307.657520000002</v>
      </c>
      <c r="R32" s="7">
        <f>'Konstanta b triple'!$D$35</f>
        <v>12992.6451825</v>
      </c>
      <c r="S32" s="7">
        <f>'Konstanta c triple'!$D$35</f>
        <v>5109.8913450000009</v>
      </c>
      <c r="T32" s="7">
        <f>'Peramalan triple'!$D$35</f>
        <v>25121.011249999989</v>
      </c>
      <c r="U32" s="7">
        <f t="shared" si="8"/>
        <v>-214.42729161581821</v>
      </c>
      <c r="V32" s="7">
        <f t="shared" si="9"/>
        <v>214.42729161581821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Exponen'!$E$35</f>
        <v>6974.2376000000004</v>
      </c>
      <c r="O33" s="7">
        <f>'Double Exponen'!$E$35</f>
        <v>5380.9457299999995</v>
      </c>
      <c r="P33" s="7">
        <f>'triple exponen'!$E$35</f>
        <v>5252.0216060000002</v>
      </c>
      <c r="Q33" s="7">
        <f>'Konstanta a triple'!$E$35</f>
        <v>10031.897216000003</v>
      </c>
      <c r="R33" s="7">
        <f>'Konstanta b triple'!$E$35</f>
        <v>8430.4547572500087</v>
      </c>
      <c r="S33" s="7">
        <f>'Konstanta c triple'!$E$35</f>
        <v>3294.8274285000034</v>
      </c>
      <c r="T33" s="7">
        <f>'Peramalan triple'!$E$35</f>
        <v>27855.248375000006</v>
      </c>
      <c r="U33" s="7">
        <f t="shared" si="8"/>
        <v>-325.68950808122798</v>
      </c>
      <c r="V33" s="7">
        <f t="shared" si="9"/>
        <v>325.68950808122798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Exponen'!$F$35</f>
        <v>30208.255039999996</v>
      </c>
      <c r="O34" s="7">
        <f>'Double Exponen'!$F$35</f>
        <v>7863.6766609999995</v>
      </c>
      <c r="P34" s="7">
        <f>'triple exponen'!$F$35</f>
        <v>6819.0146390000009</v>
      </c>
      <c r="Q34" s="7">
        <f>'Konstanta a triple'!$F$35</f>
        <v>73852.749775999997</v>
      </c>
      <c r="R34" s="7">
        <f>'Konstanta b triple'!$F$35</f>
        <v>121379.02254112497</v>
      </c>
      <c r="S34" s="7">
        <f>'Konstanta c triple'!$F$35</f>
        <v>47924.811803249984</v>
      </c>
      <c r="T34" s="7">
        <f>'Peramalan triple'!$F$35</f>
        <v>20109.765687500014</v>
      </c>
      <c r="U34" s="7">
        <f t="shared" si="8"/>
        <v>55.993825304829983</v>
      </c>
      <c r="V34" s="7">
        <f t="shared" si="9"/>
        <v>55.993825304829983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Exponen'!$G$35</f>
        <v>16249.114016</v>
      </c>
      <c r="O35" s="7">
        <f>'Double Exponen'!$G$35</f>
        <v>8702.2203965000008</v>
      </c>
      <c r="P35" s="7">
        <f>'triple exponen'!$G$35</f>
        <v>7948.9380935000008</v>
      </c>
      <c r="Q35" s="7">
        <f>'Konstanta a triple'!$G$35</f>
        <v>30589.618951999997</v>
      </c>
      <c r="R35" s="7">
        <f>'Konstanta b triple'!$G$35</f>
        <v>39343.987109812479</v>
      </c>
      <c r="S35" s="7">
        <f>'Konstanta c triple'!$G$35</f>
        <v>15285.625462124994</v>
      </c>
      <c r="T35" s="7">
        <f>'Peramalan triple'!$G$35</f>
        <v>219194.17821874996</v>
      </c>
      <c r="U35" s="7">
        <f t="shared" si="8"/>
        <v>-3057.0437391617761</v>
      </c>
      <c r="V35" s="7">
        <f t="shared" si="9"/>
        <v>3057.0437391617761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Exponen'!$H$35</f>
        <v>11676.2716064</v>
      </c>
      <c r="O36" s="7">
        <f>'Double Exponen'!$H$35</f>
        <v>8999.6255174899998</v>
      </c>
      <c r="P36" s="7">
        <f>'triple exponen'!$H$35</f>
        <v>8579.3505478940006</v>
      </c>
      <c r="Q36" s="7">
        <f>'Konstanta a triple'!$H$35</f>
        <v>16609.288814624</v>
      </c>
      <c r="R36" s="7">
        <f>'Konstanta b triple'!$H$35</f>
        <v>13322.500000535249</v>
      </c>
      <c r="S36" s="7">
        <f>'Konstanta c triple'!$H$35</f>
        <v>5076.8350184565006</v>
      </c>
      <c r="T36" s="7">
        <f>'Peramalan triple'!$H$35</f>
        <v>77576.418792874974</v>
      </c>
      <c r="U36" s="7">
        <f t="shared" si="8"/>
        <v>-799.1542227644992</v>
      </c>
      <c r="V36" s="7">
        <f t="shared" si="9"/>
        <v>799.1542227644992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Exponen'!$I$35</f>
        <v>14986.90864256</v>
      </c>
      <c r="O37" s="7">
        <f>'Double Exponen'!$I$35</f>
        <v>9598.3538299970005</v>
      </c>
      <c r="P37" s="7">
        <f>'triple exponen'!$I$35</f>
        <v>9190.7525171558009</v>
      </c>
      <c r="Q37" s="7">
        <f>'Konstanta a triple'!$I$35</f>
        <v>25356.416954844804</v>
      </c>
      <c r="R37" s="7">
        <f>'Konstanta b triple'!$I$35</f>
        <v>28629.265405196926</v>
      </c>
      <c r="S37" s="7">
        <f>'Konstanta c triple'!$I$35</f>
        <v>11207.145374374048</v>
      </c>
      <c r="T37" s="7">
        <f>'Peramalan triple'!$I$35</f>
        <v>32470.206324387498</v>
      </c>
      <c r="U37" s="7">
        <f t="shared" si="8"/>
        <v>-88.84614589035418</v>
      </c>
      <c r="V37" s="7">
        <f t="shared" si="9"/>
        <v>88.84614589035418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Exponen'!$J$35</f>
        <v>16339.963457024</v>
      </c>
      <c r="O38" s="7">
        <f>'Double Exponen'!$J$35</f>
        <v>10272.514792699702</v>
      </c>
      <c r="P38" s="7">
        <f>'triple exponen'!$J$35</f>
        <v>9839.8098824821427</v>
      </c>
      <c r="Q38" s="7">
        <f>'Konstanta a triple'!$J$35</f>
        <v>28042.155875455035</v>
      </c>
      <c r="R38" s="7">
        <f>'Konstanta b triple'!$J$35</f>
        <v>32344.49098217674</v>
      </c>
      <c r="S38" s="7">
        <f>'Konstanta c triple'!$J$35</f>
        <v>12678.17344674016</v>
      </c>
      <c r="T38" s="7">
        <f>'Peramalan triple'!$J$35</f>
        <v>59589.255047228748</v>
      </c>
      <c r="U38" s="7">
        <f t="shared" si="8"/>
        <v>-245.60523748537724</v>
      </c>
      <c r="V38" s="7">
        <f t="shared" si="9"/>
        <v>245.60523748537724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Exponen'!$K$35</f>
        <v>27636.305382809594</v>
      </c>
      <c r="O39" s="7">
        <f>'Double Exponen'!$K$35</f>
        <v>12008.893851710691</v>
      </c>
      <c r="P39" s="7">
        <f>'triple exponen'!$K$35</f>
        <v>11141.260264019273</v>
      </c>
      <c r="Q39" s="7">
        <f>'Konstanta a triple'!$K$35</f>
        <v>58023.494857315971</v>
      </c>
      <c r="R39" s="7">
        <f>'Konstanta b triple'!$K$35</f>
        <v>84325.201313204205</v>
      </c>
      <c r="S39" s="7">
        <f>'Konstanta c triple'!$K$35</f>
        <v>33209.500372666836</v>
      </c>
      <c r="T39" s="7">
        <f>'Peramalan triple'!$K$35</f>
        <v>66725.733581001856</v>
      </c>
      <c r="U39" s="7">
        <f t="shared" si="8"/>
        <v>-89.738544953825894</v>
      </c>
      <c r="V39" s="7">
        <f t="shared" si="9"/>
        <v>89.738544953825894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Exponen'!$L$35</f>
        <v>14980.562153123838</v>
      </c>
      <c r="O40" s="7">
        <f>'Double Exponen'!$L$35</f>
        <v>12306.060681852006</v>
      </c>
      <c r="P40" s="7">
        <f>'triple exponen'!$L$35</f>
        <v>11840.140514718914</v>
      </c>
      <c r="Q40" s="7">
        <f>'Konstanta a triple'!$L$35</f>
        <v>19863.644928534406</v>
      </c>
      <c r="R40" s="7">
        <f>'Konstanta b triple'!$L$35</f>
        <v>13122.150086480051</v>
      </c>
      <c r="S40" s="7">
        <f>'Konstanta c triple'!$L$35</f>
        <v>4969.3079343121617</v>
      </c>
      <c r="T40" s="7">
        <f>'Peramalan triple'!$L$35</f>
        <v>158953.44635685359</v>
      </c>
      <c r="U40" s="7">
        <f t="shared" si="8"/>
        <v>-2329.2179349704065</v>
      </c>
      <c r="V40" s="7">
        <f t="shared" si="9"/>
        <v>2329.2179349704065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Exponen'!$M$35</f>
        <v>11033.148861249534</v>
      </c>
      <c r="O41" s="7">
        <f>'Double Exponen'!$M$35</f>
        <v>12178.769499791761</v>
      </c>
      <c r="P41" s="7">
        <f>'triple exponen'!$M$35</f>
        <v>12043.317905762624</v>
      </c>
      <c r="Q41" s="7">
        <f>'Konstanta a triple'!$M$35</f>
        <v>8606.4559901359444</v>
      </c>
      <c r="R41" s="7">
        <f>'Konstanta b triple'!$M$35</f>
        <v>-7002.8539171702014</v>
      </c>
      <c r="S41" s="7">
        <f>'Konstanta c triple'!$M$35</f>
        <v>-2882.4125232855667</v>
      </c>
      <c r="T41" s="7">
        <f>'Peramalan triple'!$M$35</f>
        <v>35470.448982170543</v>
      </c>
      <c r="U41" s="7">
        <f t="shared" si="8"/>
        <v>-322.18984831555332</v>
      </c>
      <c r="V41" s="7">
        <f t="shared" si="9"/>
        <v>322.18984831555332</v>
      </c>
    </row>
    <row r="42" spans="12:22" x14ac:dyDescent="0.3">
      <c r="U42" s="7">
        <f>(SUM(U31:U41)/12)</f>
        <v>-614.18914315972154</v>
      </c>
      <c r="V42" s="7">
        <f>(SUM(V31:V41)/12)</f>
        <v>631.12960238008498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EF1A8-5C35-4DE2-B31B-668D2E7E41CF}">
  <dimension ref="A1:AG42"/>
  <sheetViews>
    <sheetView topLeftCell="F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6" width="9.44140625" style="6" bestFit="1" customWidth="1"/>
    <col min="7" max="7" width="10.44140625" style="6" bestFit="1" customWidth="1"/>
    <col min="8" max="8" width="9.44140625" style="6" bestFit="1" customWidth="1"/>
    <col min="9" max="9" width="10.44140625" style="6" bestFit="1" customWidth="1"/>
    <col min="10" max="10" width="8.109375" style="6" bestFit="1" customWidth="1"/>
    <col min="11" max="11" width="7.44140625" style="6" bestFit="1" customWidth="1"/>
    <col min="12" max="12" width="13.6640625" style="6" bestFit="1" customWidth="1"/>
    <col min="13" max="17" width="9.44140625" style="6" bestFit="1" customWidth="1"/>
    <col min="18" max="18" width="11.109375" style="6" bestFit="1" customWidth="1"/>
    <col min="19" max="19" width="10.109375" style="6" bestFit="1" customWidth="1"/>
    <col min="20" max="20" width="11.109375" style="6" bestFit="1" customWidth="1"/>
    <col min="21" max="21" width="8.109375" style="6" bestFit="1" customWidth="1"/>
    <col min="22" max="22" width="7.44140625" style="6" bestFit="1" customWidth="1"/>
    <col min="23" max="23" width="14.109375" style="6" bestFit="1" customWidth="1"/>
    <col min="24" max="27" width="8.44140625" style="6" bestFit="1" customWidth="1"/>
    <col min="28" max="28" width="9.44140625" style="6" bestFit="1" customWidth="1"/>
    <col min="29" max="31" width="10.109375" style="6" bestFit="1" customWidth="1"/>
    <col min="32" max="32" width="8.109375" style="6" bestFit="1" customWidth="1"/>
    <col min="33" max="33" width="7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Exponen'!$B$38</f>
        <v>12588.09</v>
      </c>
      <c r="D2" s="7">
        <f>'Double Exponen'!$B$38</f>
        <v>12588.09</v>
      </c>
      <c r="E2" s="7">
        <f>'triple exponen'!$B$38</f>
        <v>12588.09</v>
      </c>
      <c r="F2" s="7">
        <f>'Konstanta a triple'!$B$38</f>
        <v>12588.09</v>
      </c>
      <c r="G2" s="7">
        <f>'Konstanta b triple'!$B$38</f>
        <v>0</v>
      </c>
      <c r="H2" s="7">
        <f>'Konstanta c triple'!$B$38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Exponen'!$B$39</f>
        <v>459915.78</v>
      </c>
      <c r="O2" s="7">
        <f>'Double Exponen'!$B$39</f>
        <v>459915.78</v>
      </c>
      <c r="P2" s="7">
        <f>'triple exponen'!$B$39</f>
        <v>459915.78</v>
      </c>
      <c r="Q2" s="7">
        <f>'Konstanta a triple'!$B$39</f>
        <v>459915.78</v>
      </c>
      <c r="R2" s="7">
        <f>'Konstanta b triple'!$B$39</f>
        <v>4.5272625154919094E-10</v>
      </c>
      <c r="S2" s="7">
        <f>'Konstanta c triple'!$B$39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Exponen'!$B$42</f>
        <v>1033.08</v>
      </c>
      <c r="Z2" s="7">
        <f>'Double Exponen'!$B$42</f>
        <v>1033.08</v>
      </c>
      <c r="AA2" s="7">
        <f>'triple exponen'!$B$42</f>
        <v>1033.08</v>
      </c>
      <c r="AB2" s="7">
        <f>'Konstanta a triple'!$B$42</f>
        <v>1033.08</v>
      </c>
      <c r="AC2" s="7">
        <f>'Konstanta b triple'!$B$42</f>
        <v>1.7684619201140271E-12</v>
      </c>
      <c r="AD2" s="7">
        <f>'Konstanta c triple'!$B$42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Exponen'!$C$38</f>
        <v>7129.2520000000004</v>
      </c>
      <c r="D3" s="7">
        <f>'Double Exponen'!$C$38</f>
        <v>12042.206200000001</v>
      </c>
      <c r="E3" s="7">
        <f>'triple exponen'!$C$38</f>
        <v>12205.971340000002</v>
      </c>
      <c r="F3" s="7">
        <f>'Konstanta a triple'!$C$38</f>
        <v>-2532.8912599999985</v>
      </c>
      <c r="G3" s="7">
        <f>'Konstanta b triple'!$C$38</f>
        <v>-46554.790076666686</v>
      </c>
      <c r="H3" s="7">
        <f>'Konstanta c triple'!$C$38</f>
        <v>-25856.695993333316</v>
      </c>
      <c r="I3" s="7">
        <f>'Peramalan triple'!$C$26</f>
        <v>12588.089999999993</v>
      </c>
      <c r="J3" s="7">
        <f>((B3-I3)/B3)*100</f>
        <v>-162.81309045357258</v>
      </c>
      <c r="K3" s="7">
        <f>ABS((B3-I3)/B3)*100</f>
        <v>162.81309045357258</v>
      </c>
      <c r="L3" s="7" t="str">
        <f>'Rekap 0,1'!J3</f>
        <v>Februari</v>
      </c>
      <c r="M3" s="7">
        <f>kg!$C$4</f>
        <v>397220.76</v>
      </c>
      <c r="N3" s="7">
        <f>'Single Exponen'!$C$39</f>
        <v>416029.26600000006</v>
      </c>
      <c r="O3" s="7">
        <f>'Double Exponen'!$C$39</f>
        <v>455527.12860000005</v>
      </c>
      <c r="P3" s="7">
        <f>'triple exponen'!$C$39</f>
        <v>456843.72402000008</v>
      </c>
      <c r="Q3" s="7">
        <f>'Konstanta a triple'!$C$39</f>
        <v>338350.13621999999</v>
      </c>
      <c r="R3" s="7">
        <f>'Konstanta b triple'!$C$39</f>
        <v>-374278.82022999966</v>
      </c>
      <c r="S3" s="7">
        <f>'Konstanta c triple'!$C$39</f>
        <v>-207875.78797999973</v>
      </c>
      <c r="T3" s="7">
        <f>'Peramalan triple'!$C$39</f>
        <v>459915.78000000049</v>
      </c>
      <c r="U3" s="7">
        <f t="shared" ref="U3:U13" si="0">((M3-T3)/M3)*100</f>
        <v>-15.783419778966357</v>
      </c>
      <c r="V3" s="7">
        <f t="shared" ref="V3:V13" si="1">ABS((M3-T3)/M3)*100</f>
        <v>15.783419778966357</v>
      </c>
      <c r="W3" s="7" t="str">
        <f>'Rekap 0,1'!S3</f>
        <v>Februari</v>
      </c>
      <c r="X3" s="7">
        <f>kg!$C$7</f>
        <v>25477.94</v>
      </c>
      <c r="Y3" s="7">
        <f>'Single Exponen'!$C$42</f>
        <v>18144.481999999996</v>
      </c>
      <c r="Z3" s="7">
        <f>'Double Exponen'!$C$42</f>
        <v>2744.2201999999997</v>
      </c>
      <c r="AA3" s="7">
        <f>'triple exponen'!$C$42</f>
        <v>2230.8781399999998</v>
      </c>
      <c r="AB3" s="7">
        <f>'Konstanta a triple'!$C$42</f>
        <v>48431.663539999994</v>
      </c>
      <c r="AC3" s="7">
        <f>'Konstanta b triple'!$C$42</f>
        <v>145931.74005666663</v>
      </c>
      <c r="AD3" s="7">
        <f>'Konstanta c triple'!$C$42</f>
        <v>81051.007473333288</v>
      </c>
      <c r="AE3" s="7">
        <f>'Peramalan triple'!$C$42</f>
        <v>1033.0800000000017</v>
      </c>
      <c r="AF3" s="7">
        <f>((X3-AE3)/X3)*100</f>
        <v>95.945198081163539</v>
      </c>
      <c r="AG3" s="7">
        <f>ABS((X3-AE3)/X3)*100</f>
        <v>95.945198081163539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Exponen'!$D$38</f>
        <v>16856.863600000001</v>
      </c>
      <c r="D4" s="7">
        <f>'Double Exponen'!$D$38</f>
        <v>12523.67194</v>
      </c>
      <c r="E4" s="7">
        <f>'triple exponen'!$D$38</f>
        <v>12428.361760000002</v>
      </c>
      <c r="F4" s="7">
        <f>'Konstanta a triple'!$D$38</f>
        <v>25427.936740000005</v>
      </c>
      <c r="G4" s="7">
        <f>'Konstanta b triple'!$D$38</f>
        <v>41424.015920000013</v>
      </c>
      <c r="H4" s="7">
        <f>'Konstanta c triple'!$D$38</f>
        <v>23072.91028</v>
      </c>
      <c r="I4" s="7">
        <f>'Peramalan triple'!$D$26</f>
        <v>890.58000000000175</v>
      </c>
      <c r="J4" s="7">
        <f t="shared" ref="J4:J13" si="2">((B4-I4)/B4)*100</f>
        <v>95.764354717813887</v>
      </c>
      <c r="K4" s="7">
        <f t="shared" ref="K4:K13" si="3">ABS((B4-I4)/B4)*100</f>
        <v>95.764354717813887</v>
      </c>
      <c r="L4" s="7" t="str">
        <f>'Rekap 0,1'!J4</f>
        <v>Maret</v>
      </c>
      <c r="M4" s="7">
        <f>kg!$D$4</f>
        <v>389238.98</v>
      </c>
      <c r="N4" s="7">
        <f>'Single Exponen'!$D$39</f>
        <v>397276.06579999998</v>
      </c>
      <c r="O4" s="7">
        <f>'Double Exponen'!$D$39</f>
        <v>449702.02232000005</v>
      </c>
      <c r="P4" s="7">
        <f>'triple exponen'!$D$39</f>
        <v>451844.5328300001</v>
      </c>
      <c r="Q4" s="7">
        <f>'Konstanta a triple'!$D$39</f>
        <v>294566.66326999984</v>
      </c>
      <c r="R4" s="7">
        <f>'Konstanta b triple'!$D$39</f>
        <v>-493866.02739833377</v>
      </c>
      <c r="S4" s="7">
        <f>'Konstanta c triple'!$D$39</f>
        <v>-273765.42827666661</v>
      </c>
      <c r="T4" s="7">
        <f>'Peramalan triple'!$D$39</f>
        <v>-139866.57799999954</v>
      </c>
      <c r="U4" s="7">
        <f t="shared" si="0"/>
        <v>135.93334305829273</v>
      </c>
      <c r="V4" s="7">
        <f t="shared" si="1"/>
        <v>135.93334305829273</v>
      </c>
      <c r="W4" s="7" t="str">
        <f>'Rekap 0,1'!S4</f>
        <v>Maret</v>
      </c>
      <c r="X4" s="7">
        <f>kg!$D$7</f>
        <v>19497.02</v>
      </c>
      <c r="Y4" s="7">
        <f>'Single Exponen'!$D$42</f>
        <v>19091.258599999997</v>
      </c>
      <c r="Z4" s="7">
        <f>'Double Exponen'!$D$42</f>
        <v>4378.9240399999999</v>
      </c>
      <c r="AA4" s="7">
        <f>'triple exponen'!$D$42</f>
        <v>3734.5102700000002</v>
      </c>
      <c r="AB4" s="7">
        <f>'Konstanta a triple'!$D$42</f>
        <v>47871.513949999986</v>
      </c>
      <c r="AC4" s="7">
        <f>'Konstanta b triple'!$D$42</f>
        <v>138275.08425499999</v>
      </c>
      <c r="AD4" s="7">
        <f>'Konstanta c triple'!$D$42</f>
        <v>76592.013189999954</v>
      </c>
      <c r="AE4" s="7">
        <f>'Peramalan triple'!$D$42</f>
        <v>234888.90733333328</v>
      </c>
      <c r="AF4" s="7">
        <f t="shared" ref="AF4:AF13" si="4">((X4-AE4)/X4)*100</f>
        <v>-1104.742608528551</v>
      </c>
      <c r="AG4" s="7">
        <f t="shared" ref="AG4:AG13" si="5">ABS((X4-AE4)/X4)*100</f>
        <v>1104.742608528551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Exponen'!$E$38</f>
        <v>12827.738079999999</v>
      </c>
      <c r="D5" s="7">
        <f>'Double Exponen'!$E$38</f>
        <v>12554.078554000002</v>
      </c>
      <c r="E5" s="7">
        <f>'triple exponen'!$E$38</f>
        <v>12516.363515800003</v>
      </c>
      <c r="F5" s="7">
        <f>'Konstanta a triple'!$E$38</f>
        <v>13337.342093799998</v>
      </c>
      <c r="G5" s="7">
        <f>'Konstanta b triple'!$E$38</f>
        <v>2381.9064982999894</v>
      </c>
      <c r="H5" s="7">
        <f>'Konstanta c triple'!$E$38</f>
        <v>1284.5866557999966</v>
      </c>
      <c r="I5" s="7">
        <f>'Peramalan triple'!$E$26</f>
        <v>25244.715000000011</v>
      </c>
      <c r="J5" s="7">
        <f t="shared" si="2"/>
        <v>-127.40999209978958</v>
      </c>
      <c r="K5" s="7">
        <f t="shared" si="3"/>
        <v>127.40999209978958</v>
      </c>
      <c r="L5" s="7" t="str">
        <f>'Rekap 0,1'!J5</f>
        <v>April</v>
      </c>
      <c r="M5" s="7">
        <f>kg!$E$4</f>
        <v>505904.1</v>
      </c>
      <c r="N5" s="7">
        <f>'Single Exponen'!$E$39</f>
        <v>473315.68973999994</v>
      </c>
      <c r="O5" s="7">
        <f>'Double Exponen'!$E$39</f>
        <v>452063.38906200003</v>
      </c>
      <c r="P5" s="7">
        <f>'triple exponen'!$E$39</f>
        <v>451997.73219240014</v>
      </c>
      <c r="Q5" s="7">
        <f>'Konstanta a triple'!$E$39</f>
        <v>515754.63422639994</v>
      </c>
      <c r="R5" s="7">
        <f>'Konstanta b triple'!$E$39</f>
        <v>206134.45861073327</v>
      </c>
      <c r="S5" s="7">
        <f>'Konstanta c triple'!$E$39</f>
        <v>115349.50517906675</v>
      </c>
      <c r="T5" s="7">
        <f>'Peramalan triple'!$E$39</f>
        <v>-336182.0782666672</v>
      </c>
      <c r="U5" s="7">
        <f t="shared" si="0"/>
        <v>166.45174021453221</v>
      </c>
      <c r="V5" s="7">
        <f t="shared" si="1"/>
        <v>166.45174021453221</v>
      </c>
      <c r="W5" s="7" t="str">
        <f>'Rekap 0,1'!S5</f>
        <v>April</v>
      </c>
      <c r="X5" s="7">
        <f>kg!$E$7</f>
        <v>18855.900000000001</v>
      </c>
      <c r="Y5" s="7">
        <f>'Single Exponen'!$E$42</f>
        <v>18926.507580000001</v>
      </c>
      <c r="Z5" s="7">
        <f>'Double Exponen'!$E$42</f>
        <v>5833.6823939999995</v>
      </c>
      <c r="AA5" s="7">
        <f>'triple exponen'!$E$42</f>
        <v>5203.9307568000004</v>
      </c>
      <c r="AB5" s="7">
        <f>'Konstanta a triple'!$E$42</f>
        <v>44482.406314800006</v>
      </c>
      <c r="AC5" s="7">
        <f>'Konstanta b triple'!$E$42</f>
        <v>122638.19110013336</v>
      </c>
      <c r="AD5" s="7">
        <f>'Konstanta c triple'!$E$42</f>
        <v>67854.511543466651</v>
      </c>
      <c r="AE5" s="7">
        <f>'Peramalan triple'!$E$42</f>
        <v>224442.60479999997</v>
      </c>
      <c r="AF5" s="7">
        <f t="shared" si="4"/>
        <v>-1090.3043864254687</v>
      </c>
      <c r="AG5" s="7">
        <f t="shared" si="5"/>
        <v>1090.3043864254687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Exponen'!$F$38</f>
        <v>10215.283423999999</v>
      </c>
      <c r="D6" s="7">
        <f>'Double Exponen'!$F$38</f>
        <v>12320.199041000003</v>
      </c>
      <c r="E6" s="7">
        <f>'triple exponen'!$F$38</f>
        <v>12379.048383440004</v>
      </c>
      <c r="F6" s="7">
        <f>'Konstanta a triple'!$F$38</f>
        <v>6064.3015324399857</v>
      </c>
      <c r="G6" s="7">
        <f>'Konstanta b triple'!$F$38</f>
        <v>-20029.626135026698</v>
      </c>
      <c r="H6" s="7">
        <f>'Konstanta c triple'!$F$38</f>
        <v>-11139.694161493349</v>
      </c>
      <c r="I6" s="7">
        <f>'Peramalan triple'!$F$26</f>
        <v>12306.99499999999</v>
      </c>
      <c r="J6" s="7">
        <f t="shared" si="2"/>
        <v>-35.306233962131287</v>
      </c>
      <c r="K6" s="7">
        <f t="shared" si="3"/>
        <v>35.306233962131287</v>
      </c>
      <c r="L6" s="7" t="str">
        <f>'Rekap 0,1'!J6</f>
        <v>Mei</v>
      </c>
      <c r="M6" s="7">
        <f>kg!$F$4</f>
        <v>201079.58</v>
      </c>
      <c r="N6" s="7">
        <f>'Single Exponen'!$F$39</f>
        <v>282750.41292199999</v>
      </c>
      <c r="O6" s="7">
        <f>'Double Exponen'!$F$39</f>
        <v>435132.09144800005</v>
      </c>
      <c r="P6" s="7">
        <f>'triple exponen'!$F$39</f>
        <v>440191.78367132012</v>
      </c>
      <c r="Q6" s="7">
        <f>'Konstanta a triple'!$F$39</f>
        <v>-16953.251906680001</v>
      </c>
      <c r="R6" s="7">
        <f>'Konstanta b triple'!$F$39</f>
        <v>-1444103.0375749127</v>
      </c>
      <c r="S6" s="7">
        <f>'Konstanta c triple'!$F$39</f>
        <v>-802086.36987014592</v>
      </c>
      <c r="T6" s="7">
        <f>'Peramalan triple'!$F$39</f>
        <v>779563.84542666655</v>
      </c>
      <c r="U6" s="7">
        <f t="shared" si="0"/>
        <v>-287.68921509914958</v>
      </c>
      <c r="V6" s="7">
        <f t="shared" si="1"/>
        <v>287.68921509914958</v>
      </c>
      <c r="W6" s="7" t="str">
        <f>'Rekap 0,1'!S6</f>
        <v>Mei</v>
      </c>
      <c r="X6" s="7">
        <f>kg!$F$7</f>
        <v>26851.599999999999</v>
      </c>
      <c r="Y6" s="7">
        <f>'Single Exponen'!$F$42</f>
        <v>24474.072273999998</v>
      </c>
      <c r="Z6" s="7">
        <f>'Double Exponen'!$F$42</f>
        <v>7697.7213819999997</v>
      </c>
      <c r="AA6" s="7">
        <f>'triple exponen'!$F$42</f>
        <v>6949.5841944400008</v>
      </c>
      <c r="AB6" s="7">
        <f>'Konstanta a triple'!$F$42</f>
        <v>57278.636870439994</v>
      </c>
      <c r="AC6" s="7">
        <f>'Konstanta b triple'!$F$42</f>
        <v>157575.50889747334</v>
      </c>
      <c r="AD6" s="7">
        <f>'Konstanta c triple'!$F$42</f>
        <v>87264.719057506634</v>
      </c>
      <c r="AE6" s="7">
        <f>'Peramalan triple'!$F$42</f>
        <v>201047.8531866667</v>
      </c>
      <c r="AF6" s="7">
        <f t="shared" si="4"/>
        <v>-648.73695864181911</v>
      </c>
      <c r="AG6" s="7">
        <f t="shared" si="5"/>
        <v>648.73695864181911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Exponen'!$G$38</f>
        <v>8794.3370271999993</v>
      </c>
      <c r="D7" s="7">
        <f>'Double Exponen'!$G$38</f>
        <v>11967.612839620004</v>
      </c>
      <c r="E7" s="7">
        <f>'triple exponen'!$G$38</f>
        <v>12091.043502766006</v>
      </c>
      <c r="F7" s="7">
        <f>'Konstanta a triple'!$G$38</f>
        <v>2571.2160655059961</v>
      </c>
      <c r="G7" s="7">
        <f>'Konstanta b triple'!$G$38</f>
        <v>-29939.277165282358</v>
      </c>
      <c r="H7" s="7">
        <f>'Konstanta c triple'!$G$38</f>
        <v>-16604.712479380672</v>
      </c>
      <c r="I7" s="7">
        <f>'Peramalan triple'!$G$26</f>
        <v>6702.19625000003</v>
      </c>
      <c r="J7" s="7">
        <f t="shared" si="2"/>
        <v>18.119713121963724</v>
      </c>
      <c r="K7" s="7">
        <f t="shared" si="3"/>
        <v>18.119713121963724</v>
      </c>
      <c r="L7" s="7" t="str">
        <f>'Rekap 0,1'!J7</f>
        <v>Juni</v>
      </c>
      <c r="M7" s="7">
        <f>kg!$G$4</f>
        <v>378271.8</v>
      </c>
      <c r="N7" s="7">
        <f>'Single Exponen'!$G$39</f>
        <v>349615.38387659995</v>
      </c>
      <c r="O7" s="7">
        <f>'Double Exponen'!$G$39</f>
        <v>426580.42069086002</v>
      </c>
      <c r="P7" s="7">
        <f>'triple exponen'!$G$39</f>
        <v>430663.82958499808</v>
      </c>
      <c r="Q7" s="7">
        <f>'Konstanta a triple'!$G$39</f>
        <v>199768.71914221812</v>
      </c>
      <c r="R7" s="7">
        <f>'Konstanta b triple'!$G$39</f>
        <v>-718099.33664306393</v>
      </c>
      <c r="S7" s="7">
        <f>'Konstanta c triple'!$G$39</f>
        <v>-396799.97423177515</v>
      </c>
      <c r="T7" s="7">
        <f>'Peramalan triple'!$G$39</f>
        <v>-1862099.4744166655</v>
      </c>
      <c r="U7" s="7">
        <f t="shared" si="0"/>
        <v>592.2649466380168</v>
      </c>
      <c r="V7" s="7">
        <f t="shared" si="1"/>
        <v>592.2649466380168</v>
      </c>
      <c r="W7" s="7" t="str">
        <f>'Rekap 0,1'!S7</f>
        <v>Juni</v>
      </c>
      <c r="X7" s="7">
        <f>kg!$G$7</f>
        <v>17468.29</v>
      </c>
      <c r="Y7" s="7">
        <f>'Single Exponen'!$G$42</f>
        <v>19570.024682200001</v>
      </c>
      <c r="Z7" s="7">
        <f>'Double Exponen'!$G$42</f>
        <v>8884.9517120199998</v>
      </c>
      <c r="AA7" s="7">
        <f>'triple exponen'!$G$42</f>
        <v>8304.3414567460004</v>
      </c>
      <c r="AB7" s="7">
        <f>'Konstanta a triple'!$G$42</f>
        <v>40359.560367286002</v>
      </c>
      <c r="AC7" s="7">
        <f>'Konstanta b triple'!$G$42</f>
        <v>99592.589212781008</v>
      </c>
      <c r="AD7" s="7">
        <f>'Konstanta c triple'!$G$42</f>
        <v>55013.185892265981</v>
      </c>
      <c r="AE7" s="7">
        <f>'Peramalan triple'!$G$42</f>
        <v>258486.50529666664</v>
      </c>
      <c r="AF7" s="7">
        <f t="shared" si="4"/>
        <v>-1379.7470462000952</v>
      </c>
      <c r="AG7" s="7">
        <f t="shared" si="5"/>
        <v>1379.7470462000952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Exponen'!$H$38</f>
        <v>15424.08110816</v>
      </c>
      <c r="D8" s="7">
        <f>'Double Exponen'!$H$38</f>
        <v>12313.259666474005</v>
      </c>
      <c r="E8" s="7">
        <f>'triple exponen'!$H$38</f>
        <v>12246.594817361607</v>
      </c>
      <c r="F8" s="7">
        <f>'Konstanta a triple'!$H$38</f>
        <v>21579.059142419595</v>
      </c>
      <c r="G8" s="7">
        <f>'Konstanta b triple'!$H$38</f>
        <v>29751.518186838894</v>
      </c>
      <c r="H8" s="7">
        <f>'Konstanta c triple'!$H$38</f>
        <v>16573.741448456247</v>
      </c>
      <c r="I8" s="7">
        <f>'Peramalan triple'!$H$26</f>
        <v>5504.791250000012</v>
      </c>
      <c r="J8" s="7">
        <f t="shared" si="2"/>
        <v>69.862191630076467</v>
      </c>
      <c r="K8" s="7">
        <f t="shared" si="3"/>
        <v>69.862191630076467</v>
      </c>
      <c r="L8" s="7" t="str">
        <f>'Rekap 0,1'!J8</f>
        <v>Juli</v>
      </c>
      <c r="M8" s="7">
        <f>kg!$H$4</f>
        <v>463478.68</v>
      </c>
      <c r="N8" s="7">
        <f>'Single Exponen'!$H$39</f>
        <v>429319.69116297999</v>
      </c>
      <c r="O8" s="7">
        <f>'Double Exponen'!$H$39</f>
        <v>426854.34773807204</v>
      </c>
      <c r="P8" s="7">
        <f>'triple exponen'!$H$39</f>
        <v>427997.19229214988</v>
      </c>
      <c r="Q8" s="7">
        <f>'Konstanta a triple'!$H$39</f>
        <v>435393.22256687377</v>
      </c>
      <c r="R8" s="7">
        <f>'Konstanta b triple'!$H$39</f>
        <v>32412.968058402312</v>
      </c>
      <c r="S8" s="7">
        <f>'Konstanta c triple'!$H$39</f>
        <v>19644.578996700337</v>
      </c>
      <c r="T8" s="7">
        <f>'Peramalan triple'!$H$39</f>
        <v>-716730.60461673338</v>
      </c>
      <c r="U8" s="7">
        <f t="shared" si="0"/>
        <v>254.64154783057839</v>
      </c>
      <c r="V8" s="7">
        <f t="shared" si="1"/>
        <v>254.64154783057839</v>
      </c>
      <c r="W8" s="7" t="str">
        <f>'Rekap 0,1'!S8</f>
        <v>Juli</v>
      </c>
      <c r="X8" s="7">
        <f>kg!$H$7</f>
        <v>53358.239999999998</v>
      </c>
      <c r="Y8" s="7">
        <f>'Single Exponen'!$H$42</f>
        <v>43221.775404659995</v>
      </c>
      <c r="Z8" s="7">
        <f>'Double Exponen'!$H$42</f>
        <v>12318.634081284003</v>
      </c>
      <c r="AA8" s="7">
        <f>'triple exponen'!$H$42</f>
        <v>11114.346293922603</v>
      </c>
      <c r="AB8" s="7">
        <f>'Konstanta a triple'!$H$42</f>
        <v>103823.77026405057</v>
      </c>
      <c r="AC8" s="7">
        <f>'Konstanta b triple'!$H$42</f>
        <v>291548.85865954071</v>
      </c>
      <c r="AD8" s="7">
        <f>'Konstanta c triple'!$H$42</f>
        <v>161693.7581405238</v>
      </c>
      <c r="AE8" s="7">
        <f>'Peramalan triple'!$H$42</f>
        <v>167458.74252620002</v>
      </c>
      <c r="AF8" s="7">
        <f t="shared" si="4"/>
        <v>-213.83857961994255</v>
      </c>
      <c r="AG8" s="7">
        <f t="shared" si="5"/>
        <v>213.83857961994255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Exponen'!$I$38</f>
        <v>12358.500332448</v>
      </c>
      <c r="D9" s="7">
        <f>'Double Exponen'!$I$38</f>
        <v>12317.783733071405</v>
      </c>
      <c r="E9" s="7">
        <f>'triple exponen'!$I$38</f>
        <v>12296.427058358468</v>
      </c>
      <c r="F9" s="7">
        <f>'Konstanta a triple'!$I$38</f>
        <v>12418.576856488255</v>
      </c>
      <c r="G9" s="7">
        <f>'Konstanta b triple'!$I$38</f>
        <v>238.05373078242863</v>
      </c>
      <c r="H9" s="7">
        <f>'Konstanta c triple'!$I$38</f>
        <v>105.40403427991902</v>
      </c>
      <c r="I9" s="7">
        <f>'Peramalan triple'!$I$26</f>
        <v>21708.656562499993</v>
      </c>
      <c r="J9" s="7">
        <f t="shared" si="2"/>
        <v>-96.553060500621044</v>
      </c>
      <c r="K9" s="7">
        <f t="shared" si="3"/>
        <v>96.553060500621044</v>
      </c>
      <c r="L9" s="7" t="str">
        <f>'Rekap 0,1'!J9</f>
        <v>Agustus</v>
      </c>
      <c r="M9" s="7">
        <f>kg!$I$4</f>
        <v>511860.86</v>
      </c>
      <c r="N9" s="7">
        <f>'Single Exponen'!$I$39</f>
        <v>487098.509348894</v>
      </c>
      <c r="O9" s="7">
        <f>'Double Exponen'!$I$39</f>
        <v>432878.76389915426</v>
      </c>
      <c r="P9" s="7">
        <f>'triple exponen'!$I$39</f>
        <v>431414.29241705302</v>
      </c>
      <c r="Q9" s="7">
        <f>'Konstanta a triple'!$I$39</f>
        <v>594073.52876627224</v>
      </c>
      <c r="R9" s="7">
        <f>'Konstanta b triple'!$I$39</f>
        <v>516315.59703249944</v>
      </c>
      <c r="S9" s="7">
        <f>'Konstanta c triple'!$I$39</f>
        <v>287223.1582682539</v>
      </c>
      <c r="T9" s="7">
        <f>'Peramalan triple'!$I$39</f>
        <v>477628.48012362624</v>
      </c>
      <c r="U9" s="7">
        <f t="shared" si="0"/>
        <v>6.6878291644283454</v>
      </c>
      <c r="V9" s="7">
        <f t="shared" si="1"/>
        <v>6.6878291644283454</v>
      </c>
      <c r="W9" s="7" t="str">
        <f>'Rekap 0,1'!S9</f>
        <v>Agustus</v>
      </c>
      <c r="X9" s="7">
        <f>kg!$I$7</f>
        <v>31973.26</v>
      </c>
      <c r="Y9" s="7">
        <f>'Single Exponen'!$I$42</f>
        <v>35347.814621398</v>
      </c>
      <c r="Z9" s="7">
        <f>'Double Exponen'!$I$42</f>
        <v>14621.552135295404</v>
      </c>
      <c r="AA9" s="7">
        <f>'triple exponen'!$I$42</f>
        <v>13569.390382883565</v>
      </c>
      <c r="AB9" s="7">
        <f>'Konstanta a triple'!$I$42</f>
        <v>75748.177841191355</v>
      </c>
      <c r="AC9" s="7">
        <f>'Konstanta b triple'!$I$42</f>
        <v>193731.02344428774</v>
      </c>
      <c r="AD9" s="7">
        <f>'Konstanta c triple'!$I$42</f>
        <v>107114.54843898297</v>
      </c>
      <c r="AE9" s="7">
        <f>'Peramalan triple'!$I$42</f>
        <v>476219.50799385319</v>
      </c>
      <c r="AF9" s="7">
        <f t="shared" si="4"/>
        <v>-1389.430567899092</v>
      </c>
      <c r="AG9" s="7">
        <f t="shared" si="5"/>
        <v>1389.430567899092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Exponen'!$J$38</f>
        <v>11330.2350997344</v>
      </c>
      <c r="D10" s="7">
        <f>'Double Exponen'!$J$38</f>
        <v>12219.028869737704</v>
      </c>
      <c r="E10" s="7">
        <f>'triple exponen'!$J$38</f>
        <v>12242.248326323934</v>
      </c>
      <c r="F10" s="7">
        <f>'Konstanta a triple'!$J$38</f>
        <v>9575.8670163140196</v>
      </c>
      <c r="G10" s="7">
        <f>'Konstanta b triple'!$J$38</f>
        <v>-8469.4845569227582</v>
      </c>
      <c r="H10" s="7">
        <f>'Konstanta c triple'!$J$38</f>
        <v>-4712.571261937398</v>
      </c>
      <c r="I10" s="7">
        <f>'Peramalan triple'!$J$26</f>
        <v>11904.225937500018</v>
      </c>
      <c r="J10" s="7">
        <f t="shared" si="2"/>
        <v>-9.3178867584061624</v>
      </c>
      <c r="K10" s="7">
        <f t="shared" si="3"/>
        <v>9.3178867584061624</v>
      </c>
      <c r="L10" s="7" t="str">
        <f>'Rekap 0,1'!J10</f>
        <v>September</v>
      </c>
      <c r="M10" s="7">
        <f>kg!$J$4</f>
        <v>513170.2</v>
      </c>
      <c r="N10" s="7">
        <f>'Single Exponen'!$J$39</f>
        <v>505348.69280466822</v>
      </c>
      <c r="O10" s="7">
        <f>'Double Exponen'!$J$39</f>
        <v>440125.75678970572</v>
      </c>
      <c r="P10" s="7">
        <f>'triple exponen'!$J$39</f>
        <v>437512.31747790991</v>
      </c>
      <c r="Q10" s="7">
        <f>'Konstanta a triple'!$J$39</f>
        <v>633181.12552279746</v>
      </c>
      <c r="R10" s="7">
        <f>'Konstanta b triple'!$J$39</f>
        <v>614801.46523053292</v>
      </c>
      <c r="S10" s="7">
        <f>'Konstanta c triple'!$J$39</f>
        <v>340873.92649501847</v>
      </c>
      <c r="T10" s="7">
        <f>'Peramalan triple'!$J$39</f>
        <v>1254000.7049328985</v>
      </c>
      <c r="U10" s="7">
        <f t="shared" si="0"/>
        <v>-144.36350842915246</v>
      </c>
      <c r="V10" s="7">
        <f t="shared" si="1"/>
        <v>144.36350842915246</v>
      </c>
      <c r="W10" s="7" t="str">
        <f>'Rekap 0,1'!S10</f>
        <v>September</v>
      </c>
      <c r="X10" s="7">
        <f>kg!$J$7</f>
        <v>28522.799999999999</v>
      </c>
      <c r="Y10" s="7">
        <f>'Single Exponen'!$J$42</f>
        <v>30570.304386419401</v>
      </c>
      <c r="Z10" s="7">
        <f>'Double Exponen'!$J$42</f>
        <v>16216.427360407803</v>
      </c>
      <c r="AA10" s="7">
        <f>'triple exponen'!$J$42</f>
        <v>15422.316267150532</v>
      </c>
      <c r="AB10" s="7">
        <f>'Konstanta a triple'!$J$42</f>
        <v>58483.947345185326</v>
      </c>
      <c r="AC10" s="7">
        <f>'Konstanta b triple'!$J$42</f>
        <v>133683.98356382293</v>
      </c>
      <c r="AD10" s="7">
        <f>'Konstanta c triple'!$J$42</f>
        <v>73825.392300551306</v>
      </c>
      <c r="AE10" s="7">
        <f>'Peramalan triple'!$J$42</f>
        <v>323036.47550497059</v>
      </c>
      <c r="AF10" s="7">
        <f t="shared" si="4"/>
        <v>-1032.5552733426262</v>
      </c>
      <c r="AG10" s="7">
        <f t="shared" si="5"/>
        <v>1032.5552733426262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Exponen'!$K$38</f>
        <v>9283.5085299203201</v>
      </c>
      <c r="D11" s="7">
        <f>'Double Exponen'!$K$38</f>
        <v>11925.476835755966</v>
      </c>
      <c r="E11" s="7">
        <f>'triple exponen'!$K$38</f>
        <v>12020.508282926357</v>
      </c>
      <c r="F11" s="7">
        <f>'Konstanta a triple'!$K$38</f>
        <v>4094.6033654194198</v>
      </c>
      <c r="G11" s="7">
        <f>'Konstanta b triple'!$K$38</f>
        <v>-24983.62616930978</v>
      </c>
      <c r="H11" s="7">
        <f>'Konstanta c triple'!$K$38</f>
        <v>-13866.656230510824</v>
      </c>
      <c r="I11" s="7">
        <f>'Peramalan triple'!$K$26</f>
        <v>9728.9653906249914</v>
      </c>
      <c r="J11" s="7">
        <f t="shared" si="2"/>
        <v>-15.733665193472918</v>
      </c>
      <c r="K11" s="7">
        <f t="shared" si="3"/>
        <v>15.733665193472918</v>
      </c>
      <c r="L11" s="7" t="str">
        <f>'Rekap 0,1'!J11</f>
        <v>Oktober</v>
      </c>
      <c r="M11" s="7">
        <f>kg!$K$4</f>
        <v>525723.46</v>
      </c>
      <c r="N11" s="7">
        <f>'Single Exponen'!$K$39</f>
        <v>519611.02984140045</v>
      </c>
      <c r="O11" s="7">
        <f>'Double Exponen'!$K$39</f>
        <v>448074.28409487521</v>
      </c>
      <c r="P11" s="7">
        <f>'triple exponen'!$K$39</f>
        <v>444905.69410978566</v>
      </c>
      <c r="Q11" s="7">
        <f>'Konstanta a triple'!$K$39</f>
        <v>659515.93134936132</v>
      </c>
      <c r="R11" s="7">
        <f>'Konstanta b triple'!$K$39</f>
        <v>672083.779868057</v>
      </c>
      <c r="S11" s="7">
        <f>'Konstanta c triple'!$K$39</f>
        <v>372226.62581226078</v>
      </c>
      <c r="T11" s="7">
        <f>'Peramalan triple'!$K$39</f>
        <v>1418419.5540008396</v>
      </c>
      <c r="U11" s="7">
        <f t="shared" si="0"/>
        <v>-169.80335897523761</v>
      </c>
      <c r="V11" s="7">
        <f t="shared" si="1"/>
        <v>169.80335897523761</v>
      </c>
      <c r="W11" s="7" t="str">
        <f>'Rekap 0,1'!S11</f>
        <v>Oktober</v>
      </c>
      <c r="X11" s="7">
        <f>kg!$K$7</f>
        <v>51078.26</v>
      </c>
      <c r="Y11" s="7">
        <f>'Single Exponen'!$K$42</f>
        <v>44925.873315925819</v>
      </c>
      <c r="Z11" s="7">
        <f>'Double Exponen'!$K$42</f>
        <v>19087.371955959607</v>
      </c>
      <c r="AA11" s="7">
        <f>'triple exponen'!$K$42</f>
        <v>17987.855249316886</v>
      </c>
      <c r="AB11" s="7">
        <f>'Konstanta a triple'!$K$42</f>
        <v>95503.359329215513</v>
      </c>
      <c r="AC11" s="7">
        <f>'Konstanta b triple'!$K$42</f>
        <v>243083.44533392254</v>
      </c>
      <c r="AD11" s="7">
        <f>'Konstanta c triple'!$K$42</f>
        <v>134690.0275569834</v>
      </c>
      <c r="AE11" s="7">
        <f>'Peramalan triple'!$K$42</f>
        <v>229080.6270592839</v>
      </c>
      <c r="AF11" s="7">
        <f t="shared" si="4"/>
        <v>-348.48948859903192</v>
      </c>
      <c r="AG11" s="7">
        <f t="shared" si="5"/>
        <v>348.48948859903192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Exponen'!$L$38</f>
        <v>15490.017558976097</v>
      </c>
      <c r="D12" s="7">
        <f>'Double Exponen'!$L$38</f>
        <v>12281.93090807798</v>
      </c>
      <c r="E12" s="7">
        <f>'triple exponen'!$L$38</f>
        <v>12203.504120532496</v>
      </c>
      <c r="F12" s="7">
        <f>'Konstanta a triple'!$L$38</f>
        <v>21827.764073226841</v>
      </c>
      <c r="G12" s="7">
        <f>'Konstanta b triple'!$L$38</f>
        <v>30610.244509090051</v>
      </c>
      <c r="H12" s="7">
        <f>'Konstanta c triple'!$L$38</f>
        <v>17039.259256030989</v>
      </c>
      <c r="I12" s="7">
        <f>'Peramalan triple'!$L$26</f>
        <v>6150.978203124997</v>
      </c>
      <c r="J12" s="7">
        <f t="shared" si="2"/>
        <v>66.110219570164134</v>
      </c>
      <c r="K12" s="7">
        <f t="shared" si="3"/>
        <v>66.110219570164134</v>
      </c>
      <c r="L12" s="7" t="str">
        <f>'Rekap 0,1'!J12</f>
        <v>November</v>
      </c>
      <c r="M12" s="7">
        <f>kg!$L$4</f>
        <v>480711.96</v>
      </c>
      <c r="N12" s="7">
        <f>'Single Exponen'!$L$39</f>
        <v>492381.68095242011</v>
      </c>
      <c r="O12" s="7">
        <f>'Double Exponen'!$L$39</f>
        <v>452505.02378062974</v>
      </c>
      <c r="P12" s="7">
        <f>'triple exponen'!$L$39</f>
        <v>450225.22487937659</v>
      </c>
      <c r="Q12" s="7">
        <f>'Konstanta a triple'!$L$39</f>
        <v>569855.19639474782</v>
      </c>
      <c r="R12" s="7">
        <f>'Konstanta b triple'!$L$39</f>
        <v>370844.54173314734</v>
      </c>
      <c r="S12" s="7">
        <f>'Konstanta c triple'!$L$39</f>
        <v>204694.00613959145</v>
      </c>
      <c r="T12" s="7">
        <f>'Peramalan triple'!$L$39</f>
        <v>1517713.0241235488</v>
      </c>
      <c r="U12" s="7">
        <f t="shared" si="0"/>
        <v>-215.72191882297847</v>
      </c>
      <c r="V12" s="7">
        <f t="shared" si="1"/>
        <v>215.72191882297847</v>
      </c>
      <c r="W12" s="7" t="str">
        <f>'Rekap 0,1'!S12</f>
        <v>November</v>
      </c>
      <c r="X12" s="7">
        <f>kg!$L$7</f>
        <v>50149.88</v>
      </c>
      <c r="Y12" s="7">
        <f>'Single Exponen'!$L$42</f>
        <v>48582.677994777747</v>
      </c>
      <c r="Z12" s="7">
        <f>'Double Exponen'!$L$42</f>
        <v>22036.902559841423</v>
      </c>
      <c r="AA12" s="7">
        <f>'triple exponen'!$L$42</f>
        <v>20822.188366684066</v>
      </c>
      <c r="AB12" s="7">
        <f>'Konstanta a triple'!$L$42</f>
        <v>100459.51467149306</v>
      </c>
      <c r="AC12" s="7">
        <f>'Konstanta b triple'!$L$42</f>
        <v>249108.53963466268</v>
      </c>
      <c r="AD12" s="7">
        <f>'Konstanta c triple'!$L$42</f>
        <v>137913.55564968541</v>
      </c>
      <c r="AE12" s="7">
        <f>'Peramalan triple'!$L$42</f>
        <v>405931.81844162976</v>
      </c>
      <c r="AF12" s="7">
        <f t="shared" si="4"/>
        <v>-709.43726772951356</v>
      </c>
      <c r="AG12" s="7">
        <f t="shared" si="5"/>
        <v>709.43726772951356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Exponen'!$M$38</f>
        <v>12980.778267692829</v>
      </c>
      <c r="D13" s="7">
        <f>'Double Exponen'!$M$38</f>
        <v>12351.815644039467</v>
      </c>
      <c r="E13" s="7">
        <f>'triple exponen'!$M$38</f>
        <v>12307.322186987376</v>
      </c>
      <c r="F13" s="7">
        <f>'Konstanta a triple'!$M$38</f>
        <v>14194.210057947459</v>
      </c>
      <c r="G13" s="7">
        <f>'Konstanta b triple'!$M$38</f>
        <v>5786.1571861894799</v>
      </c>
      <c r="H13" s="7">
        <f>'Konstanta c triple'!$M$38</f>
        <v>3182.1099070513646</v>
      </c>
      <c r="I13" s="7">
        <f>'Peramalan triple'!$M$26</f>
        <v>21256.787753906276</v>
      </c>
      <c r="J13" s="7">
        <f t="shared" si="2"/>
        <v>-78.547596961597037</v>
      </c>
      <c r="K13" s="7">
        <f t="shared" si="3"/>
        <v>78.547596961597037</v>
      </c>
      <c r="L13" s="7" t="str">
        <f>'Rekap 0,1'!J13</f>
        <v>Desember</v>
      </c>
      <c r="M13" s="7">
        <f>kg!$M$4</f>
        <v>428532.64</v>
      </c>
      <c r="N13" s="7">
        <f>'Single Exponen'!$M$39</f>
        <v>447687.35228572605</v>
      </c>
      <c r="O13" s="7">
        <f>'Double Exponen'!$M$39</f>
        <v>452023.25663113943</v>
      </c>
      <c r="P13" s="7">
        <f>'triple exponen'!$M$39</f>
        <v>451483.84710561065</v>
      </c>
      <c r="Q13" s="7">
        <f>'Konstanta a triple'!$M$39</f>
        <v>438476.13406937057</v>
      </c>
      <c r="R13" s="7">
        <f>'Konstanta b triple'!$M$39</f>
        <v>-46140.262630147692</v>
      </c>
      <c r="S13" s="7">
        <f>'Konstanta c triple'!$M$39</f>
        <v>-26543.37551957398</v>
      </c>
      <c r="T13" s="7">
        <f>'Peramalan triple'!$M$39</f>
        <v>1043046.7411976908</v>
      </c>
      <c r="U13" s="7">
        <f t="shared" si="0"/>
        <v>-143.39960223279394</v>
      </c>
      <c r="V13" s="7">
        <f t="shared" si="1"/>
        <v>143.39960223279394</v>
      </c>
      <c r="W13" s="7" t="str">
        <f>'Rekap 0,1'!S13</f>
        <v>Desember</v>
      </c>
      <c r="X13" s="7">
        <f>kg!$M$7</f>
        <v>42897.42</v>
      </c>
      <c r="Y13" s="7">
        <f>'Single Exponen'!$M$42</f>
        <v>44602.997398433319</v>
      </c>
      <c r="Z13" s="7">
        <f>'Double Exponen'!$M$42</f>
        <v>24293.512043700612</v>
      </c>
      <c r="AA13" s="7">
        <f>'triple exponen'!$M$42</f>
        <v>23252.114940595653</v>
      </c>
      <c r="AB13" s="7">
        <f>'Konstanta a triple'!$M$42</f>
        <v>84180.571004793761</v>
      </c>
      <c r="AC13" s="7">
        <f>'Konstanta b triple'!$M$42</f>
        <v>189758.56235362581</v>
      </c>
      <c r="AD13" s="7">
        <f>'Konstanta c triple'!$M$42</f>
        <v>104904.03603663993</v>
      </c>
      <c r="AE13" s="7">
        <f>'Peramalan triple'!$M$42</f>
        <v>418524.83213099849</v>
      </c>
      <c r="AF13" s="7">
        <f t="shared" si="4"/>
        <v>-875.64103419506</v>
      </c>
      <c r="AG13" s="7">
        <f t="shared" si="5"/>
        <v>875.64103419506</v>
      </c>
    </row>
    <row r="14" spans="1:33" x14ac:dyDescent="0.3">
      <c r="J14" s="7">
        <f>(SUM(J3:J13)/12)</f>
        <v>-22.985420574131037</v>
      </c>
      <c r="K14" s="7">
        <f>(SUM(K3:K13)/12)</f>
        <v>64.628167080800736</v>
      </c>
      <c r="U14" s="7">
        <f>(SUM(U3:U13)/12)</f>
        <v>14.934865297297497</v>
      </c>
      <c r="V14" s="7">
        <f>(SUM(V3:V13)/12)</f>
        <v>177.72836918701057</v>
      </c>
      <c r="AF14" s="7">
        <f>(SUM(AF3:AF13)/12)</f>
        <v>-724.74816775833631</v>
      </c>
      <c r="AG14" s="7">
        <f>(SUM(AG3:AG13)/12)</f>
        <v>740.73903410519688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Exponen'!$B$40</f>
        <v>23458.3</v>
      </c>
      <c r="O16" s="7">
        <f>'Double Exponen'!$B$40</f>
        <v>23458.3</v>
      </c>
      <c r="P16" s="7">
        <f>'triple exponen'!$B$40</f>
        <v>23458.3</v>
      </c>
      <c r="Q16" s="7">
        <f>'Konstanta a triple'!$B$40</f>
        <v>23458.3</v>
      </c>
      <c r="R16" s="7">
        <f>'Konstanta b triple'!$B$40</f>
        <v>0</v>
      </c>
      <c r="S16" s="7">
        <f>'Konstanta c triple'!$B$40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Exponen'!$C$40</f>
        <v>36589.109999999993</v>
      </c>
      <c r="O17" s="7">
        <f>'Double Exponen'!$C$40</f>
        <v>24771.381000000001</v>
      </c>
      <c r="P17" s="7">
        <f>'triple exponen'!$C$40</f>
        <v>24377.456700000002</v>
      </c>
      <c r="Q17" s="7">
        <f>'Konstanta a triple'!$C$40</f>
        <v>59830.643699999979</v>
      </c>
      <c r="R17" s="7">
        <f>'Konstanta b triple'!$C$40</f>
        <v>111983.92461666657</v>
      </c>
      <c r="S17" s="7">
        <f>'Konstanta c triple'!$C$40</f>
        <v>62196.270033333269</v>
      </c>
      <c r="T17" s="7">
        <f>'Peramalan triple'!$C$40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Exponen'!$D$40</f>
        <v>31103.062999999998</v>
      </c>
      <c r="O18" s="7">
        <f>'Double Exponen'!$D$40</f>
        <v>25404.549199999998</v>
      </c>
      <c r="P18" s="7">
        <f>'triple exponen'!$D$40</f>
        <v>25096.421450000002</v>
      </c>
      <c r="Q18" s="7">
        <f>'Konstanta a triple'!$D$40</f>
        <v>42191.962850000004</v>
      </c>
      <c r="R18" s="7">
        <f>'Konstanta b triple'!$D$40</f>
        <v>53125.495791666697</v>
      </c>
      <c r="S18" s="7">
        <f>'Konstanta c triple'!$D$40</f>
        <v>29347.657383333346</v>
      </c>
      <c r="T18" s="7">
        <f>'Peramalan triple'!$D$40</f>
        <v>202912.70333333319</v>
      </c>
      <c r="U18" s="7">
        <f t="shared" si="6"/>
        <v>-605.7366759530089</v>
      </c>
      <c r="V18" s="7">
        <f t="shared" si="7"/>
        <v>605.7366759530089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Exponen'!$E$40</f>
        <v>36894.748899999999</v>
      </c>
      <c r="O19" s="7">
        <f>'Double Exponen'!$E$40</f>
        <v>26553.569169999999</v>
      </c>
      <c r="P19" s="7">
        <f>'triple exponen'!$E$40</f>
        <v>26116.424854000004</v>
      </c>
      <c r="Q19" s="7">
        <f>'Konstanta a triple'!$E$40</f>
        <v>57139.964044</v>
      </c>
      <c r="R19" s="7">
        <f>'Konstanta b triple'!$E$40</f>
        <v>97309.236595666735</v>
      </c>
      <c r="S19" s="7">
        <f>'Konstanta c triple'!$E$40</f>
        <v>53921.970587333337</v>
      </c>
      <c r="T19" s="7">
        <f>'Peramalan triple'!$E$40</f>
        <v>109991.28733333337</v>
      </c>
      <c r="U19" s="7">
        <f t="shared" si="6"/>
        <v>-179.32947320213975</v>
      </c>
      <c r="V19" s="7">
        <f t="shared" si="7"/>
        <v>179.32947320213975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Exponen'!$F$40</f>
        <v>27771.544670000003</v>
      </c>
      <c r="O20" s="7">
        <f>'Double Exponen'!$F$40</f>
        <v>26675.366719999998</v>
      </c>
      <c r="P20" s="7">
        <f>'triple exponen'!$F$40</f>
        <v>26507.684160200002</v>
      </c>
      <c r="Q20" s="7">
        <f>'Konstanta a triple'!$F$40</f>
        <v>29796.218010200009</v>
      </c>
      <c r="R20" s="7">
        <f>'Konstanta b triple'!$F$40</f>
        <v>9418.2978220334026</v>
      </c>
      <c r="S20" s="7">
        <f>'Konstanta c triple'!$F$40</f>
        <v>5055.1415688667121</v>
      </c>
      <c r="T20" s="7">
        <f>'Peramalan triple'!$F$40</f>
        <v>181410.18593333339</v>
      </c>
      <c r="U20" s="7">
        <f t="shared" si="6"/>
        <v>-660.25994037840462</v>
      </c>
      <c r="V20" s="7">
        <f t="shared" si="7"/>
        <v>660.25994037840462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Exponen'!$G$40</f>
        <v>48383.293401000003</v>
      </c>
      <c r="O21" s="7">
        <f>'Double Exponen'!$G$40</f>
        <v>28846.159388100001</v>
      </c>
      <c r="P21" s="7">
        <f>'triple exponen'!$G$40</f>
        <v>28144.616819730003</v>
      </c>
      <c r="Q21" s="7">
        <f>'Konstanta a triple'!$G$40</f>
        <v>86756.018858430005</v>
      </c>
      <c r="R21" s="7">
        <f>'Konstanta b triple'!$G$40</f>
        <v>184760.73837023837</v>
      </c>
      <c r="S21" s="7">
        <f>'Konstanta c triple'!$G$40</f>
        <v>102549.33119799664</v>
      </c>
      <c r="T21" s="7">
        <f>'Peramalan triple'!$G$40</f>
        <v>41742.086616666769</v>
      </c>
      <c r="U21" s="7">
        <f t="shared" si="6"/>
        <v>27.045878723477212</v>
      </c>
      <c r="V21" s="7">
        <f t="shared" si="7"/>
        <v>27.045878723477212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Exponen'!$H$40</f>
        <v>73130.678020299994</v>
      </c>
      <c r="O22" s="7">
        <f>'Double Exponen'!$H$40</f>
        <v>33274.611251320006</v>
      </c>
      <c r="P22" s="7">
        <f>'triple exponen'!$H$40</f>
        <v>31735.612921843007</v>
      </c>
      <c r="Q22" s="7">
        <f>'Konstanta a triple'!$H$40</f>
        <v>151303.81322878296</v>
      </c>
      <c r="R22" s="7">
        <f>'Konstanta b triple'!$H$40</f>
        <v>376118.05037505872</v>
      </c>
      <c r="S22" s="7">
        <f>'Konstanta c triple'!$H$40</f>
        <v>208615.15039284952</v>
      </c>
      <c r="T22" s="7">
        <f>'Peramalan triple'!$H$40</f>
        <v>322791.42282766668</v>
      </c>
      <c r="U22" s="7">
        <f t="shared" si="6"/>
        <v>-285.48381155176486</v>
      </c>
      <c r="V22" s="7">
        <f t="shared" si="7"/>
        <v>285.48381155176486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Exponen'!$I$40</f>
        <v>59776.443406089995</v>
      </c>
      <c r="O23" s="7">
        <f>'Double Exponen'!$I$40</f>
        <v>35924.794466797</v>
      </c>
      <c r="P23" s="7">
        <f>'triple exponen'!$I$40</f>
        <v>34668.040003310802</v>
      </c>
      <c r="Q23" s="7">
        <f>'Konstanta a triple'!$I$40</f>
        <v>106222.98682118978</v>
      </c>
      <c r="R23" s="7">
        <f>'Konstanta b triple'!$I$40</f>
        <v>222605.0122629228</v>
      </c>
      <c r="S23" s="7">
        <f>'Konstanta c triple'!$I$40</f>
        <v>123016.64770161473</v>
      </c>
      <c r="T23" s="7">
        <f>'Peramalan triple'!$I$40</f>
        <v>631729.43880026648</v>
      </c>
      <c r="U23" s="7">
        <f t="shared" si="6"/>
        <v>-1068.7179275237479</v>
      </c>
      <c r="V23" s="7">
        <f t="shared" si="7"/>
        <v>1068.7179275237479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Exponen'!$J$40</f>
        <v>25818.083021826998</v>
      </c>
      <c r="O24" s="7">
        <f>'Double Exponen'!$J$40</f>
        <v>34914.123322300002</v>
      </c>
      <c r="P24" s="7">
        <f>'triple exponen'!$J$40</f>
        <v>34840.298326603246</v>
      </c>
      <c r="Q24" s="7">
        <f>'Konstanta a triple'!$J$40</f>
        <v>7552.1774251842362</v>
      </c>
      <c r="R24" s="7">
        <f>'Konstanta b triple'!$J$40</f>
        <v>-88979.209833913526</v>
      </c>
      <c r="S24" s="7">
        <f>'Konstanta c triple'!$J$40</f>
        <v>-49924.822168035331</v>
      </c>
      <c r="T24" s="7">
        <f>'Peramalan triple'!$J$40</f>
        <v>390336.32293491997</v>
      </c>
      <c r="U24" s="7">
        <f t="shared" si="6"/>
        <v>-3365.1899590298726</v>
      </c>
      <c r="V24" s="7">
        <f t="shared" si="7"/>
        <v>3365.1899590298726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Exponen'!$K$40</f>
        <v>24695.924906548102</v>
      </c>
      <c r="O25" s="7">
        <f>'Double Exponen'!$K$40</f>
        <v>33892.303480724811</v>
      </c>
      <c r="P25" s="7">
        <f>'triple exponen'!$K$40</f>
        <v>34176.701934488345</v>
      </c>
      <c r="Q25" s="7">
        <f>'Konstanta a triple'!$K$40</f>
        <v>6587.5662119582121</v>
      </c>
      <c r="R25" s="7">
        <f>'Konstanta b triple'!$K$40</f>
        <v>-87307.847562798634</v>
      </c>
      <c r="S25" s="7">
        <f>'Konstanta c triple'!$K$40</f>
        <v>-48520.78065558285</v>
      </c>
      <c r="T25" s="7">
        <f>'Peramalan triple'!$K$40</f>
        <v>-106389.44349274694</v>
      </c>
      <c r="U25" s="7">
        <f t="shared" si="6"/>
        <v>539.3534730239395</v>
      </c>
      <c r="V25" s="7">
        <f t="shared" si="7"/>
        <v>539.3534730239395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Exponen'!$L$40</f>
        <v>26211.197471964428</v>
      </c>
      <c r="O26" s="7">
        <f>'Double Exponen'!$L$40</f>
        <v>33124.192879848779</v>
      </c>
      <c r="P26" s="7">
        <f>'triple exponen'!$L$40</f>
        <v>33439.94559624065</v>
      </c>
      <c r="Q26" s="7">
        <f>'Konstanta a triple'!$L$40</f>
        <v>12700.959372587589</v>
      </c>
      <c r="R26" s="7">
        <f>'Konstanta b triple'!$L$40</f>
        <v>-64876.615838868958</v>
      </c>
      <c r="S26" s="7">
        <f>'Konstanta c triple'!$L$40</f>
        <v>-35918.321320347932</v>
      </c>
      <c r="T26" s="7">
        <f>'Peramalan triple'!$L$40</f>
        <v>-104980.67167863184</v>
      </c>
      <c r="U26" s="7">
        <f t="shared" si="6"/>
        <v>490.83517002089241</v>
      </c>
      <c r="V26" s="7">
        <f t="shared" si="7"/>
        <v>490.83517002089241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Exponen'!$M$40</f>
        <v>31560.249241589325</v>
      </c>
      <c r="O27" s="7">
        <f>'Double Exponen'!$M$40</f>
        <v>32967.798516022835</v>
      </c>
      <c r="P27" s="7">
        <f>'triple exponen'!$M$40</f>
        <v>33109.442640088186</v>
      </c>
      <c r="Q27" s="7">
        <f>'Konstanta a triple'!$M$40</f>
        <v>28886.794816787653</v>
      </c>
      <c r="R27" s="7">
        <f>'Konstanta b triple'!$M$40</f>
        <v>-12637.91414028741</v>
      </c>
      <c r="S27" s="7">
        <f>'Konstanta c triple'!$M$40</f>
        <v>-6892.1502631155463</v>
      </c>
      <c r="T27" s="7">
        <f>'Peramalan triple'!$M$40</f>
        <v>-70134.817126455338</v>
      </c>
      <c r="U27" s="7">
        <f t="shared" si="6"/>
        <v>307.1764353403284</v>
      </c>
      <c r="V27" s="7">
        <f t="shared" si="7"/>
        <v>307.1764353403284</v>
      </c>
    </row>
    <row r="28" spans="12:22" x14ac:dyDescent="0.3">
      <c r="U28" s="7">
        <f>(SUM(U17:U27)/12)</f>
        <v>-396.32278010262445</v>
      </c>
      <c r="V28" s="7">
        <f>(SUM(V17:V27)/12)</f>
        <v>631.13018450386528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Exponen'!$B$41</f>
        <v>4698.6499999999996</v>
      </c>
      <c r="O30" s="7">
        <f>'Double Exponen'!$B$41</f>
        <v>4698.6499999999996</v>
      </c>
      <c r="P30" s="7">
        <f>'triple exponen'!$B$41</f>
        <v>4698.6499999999996</v>
      </c>
      <c r="Q30" s="7">
        <f>'Konstanta a triple'!$B$41</f>
        <v>4698.6499999999996</v>
      </c>
      <c r="R30" s="7">
        <f>'Konstanta b triple'!$B$41</f>
        <v>0</v>
      </c>
      <c r="S30" s="7">
        <f>'Konstanta c triple'!$B$41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Exponen'!$C$41</f>
        <v>7461.0950000000003</v>
      </c>
      <c r="O31" s="7">
        <f>'Double Exponen'!$C$41</f>
        <v>4974.8944999999994</v>
      </c>
      <c r="P31" s="7">
        <f>'triple exponen'!$C$41</f>
        <v>4892.0211500000005</v>
      </c>
      <c r="Q31" s="7">
        <f>'Konstanta a triple'!$C$41</f>
        <v>12350.622650000001</v>
      </c>
      <c r="R31" s="7">
        <f>'Konstanta b triple'!$C$41</f>
        <v>23559.051775000014</v>
      </c>
      <c r="S31" s="7">
        <f>'Konstanta c triple'!$C$41</f>
        <v>13084.781150000004</v>
      </c>
      <c r="T31" s="7">
        <f>'Peramalan triple'!$C$41</f>
        <v>4698.6499999999996</v>
      </c>
      <c r="U31" s="7">
        <f t="shared" ref="U31:U41" si="8">((M31-T31)/M31)*100</f>
        <v>45.648930017351077</v>
      </c>
      <c r="V31" s="7">
        <f t="shared" ref="V31:V41" si="9">ABS((M31-T31)/M31)*100</f>
        <v>45.648930017351077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Exponen'!$D$41</f>
        <v>7830.9435000000003</v>
      </c>
      <c r="O32" s="7">
        <f>'Double Exponen'!$D$41</f>
        <v>5260.4993999999997</v>
      </c>
      <c r="P32" s="7">
        <f>'triple exponen'!$D$41</f>
        <v>5149.9559250000002</v>
      </c>
      <c r="Q32" s="7">
        <f>'Konstanta a triple'!$D$41</f>
        <v>12861.288225000002</v>
      </c>
      <c r="R32" s="7">
        <f>'Konstanta b triple'!$D$41</f>
        <v>24173.635295833334</v>
      </c>
      <c r="S32" s="7">
        <f>'Konstanta c triple'!$D$41</f>
        <v>13392.792291666667</v>
      </c>
      <c r="T32" s="7">
        <f>'Peramalan triple'!$D$41</f>
        <v>42452.065000000024</v>
      </c>
      <c r="U32" s="7">
        <f t="shared" si="8"/>
        <v>-431.35153233326486</v>
      </c>
      <c r="V32" s="7">
        <f t="shared" si="9"/>
        <v>431.35153233326486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Exponen'!$E$41</f>
        <v>6929.7750500000002</v>
      </c>
      <c r="O33" s="7">
        <f>'Double Exponen'!$E$41</f>
        <v>5427.4269649999997</v>
      </c>
      <c r="P33" s="7">
        <f>'triple exponen'!$E$41</f>
        <v>5344.1856530000005</v>
      </c>
      <c r="Q33" s="7">
        <f>'Konstanta a triple'!$E$41</f>
        <v>9851.2299080000012</v>
      </c>
      <c r="R33" s="7">
        <f>'Konstanta b triple'!$E$41</f>
        <v>13991.101132166668</v>
      </c>
      <c r="S33" s="7">
        <f>'Konstanta c triple'!$E$41</f>
        <v>7726.2479863333374</v>
      </c>
      <c r="T33" s="7">
        <f>'Peramalan triple'!$E$41</f>
        <v>43731.31966666667</v>
      </c>
      <c r="U33" s="7">
        <f t="shared" si="8"/>
        <v>-568.31082265107477</v>
      </c>
      <c r="V33" s="7">
        <f t="shared" si="9"/>
        <v>568.31082265107477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Exponen'!$F$41</f>
        <v>34067.252515</v>
      </c>
      <c r="O34" s="7">
        <f>'Double Exponen'!$F$41</f>
        <v>8291.4095199999992</v>
      </c>
      <c r="P34" s="7">
        <f>'triple exponen'!$F$41</f>
        <v>7407.2423599000003</v>
      </c>
      <c r="Q34" s="7">
        <f>'Konstanta a triple'!$F$41</f>
        <v>84734.771344900015</v>
      </c>
      <c r="R34" s="7">
        <f>'Konstanta b triple'!$F$41</f>
        <v>244065.46065731667</v>
      </c>
      <c r="S34" s="7">
        <f>'Konstanta c triple'!$F$41</f>
        <v>135521.34621223327</v>
      </c>
      <c r="T34" s="7">
        <f>'Peramalan triple'!$F$41</f>
        <v>27705.455033333335</v>
      </c>
      <c r="U34" s="7">
        <f t="shared" si="8"/>
        <v>39.372187963189894</v>
      </c>
      <c r="V34" s="7">
        <f t="shared" si="9"/>
        <v>39.372187963189894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Exponen'!$G$41</f>
        <v>15080.289754500001</v>
      </c>
      <c r="O35" s="7">
        <f>'Double Exponen'!$G$41</f>
        <v>8970.2975434500004</v>
      </c>
      <c r="P35" s="7">
        <f>'triple exponen'!$G$41</f>
        <v>8501.3809883850008</v>
      </c>
      <c r="Q35" s="7">
        <f>'Konstanta a triple'!$G$41</f>
        <v>26831.357621535004</v>
      </c>
      <c r="R35" s="7">
        <f>'Konstanta b triple'!$G$41</f>
        <v>55937.929728339172</v>
      </c>
      <c r="S35" s="7">
        <f>'Konstanta c triple'!$G$41</f>
        <v>30712.523015918327</v>
      </c>
      <c r="T35" s="7">
        <f>'Peramalan triple'!$G$41</f>
        <v>396560.90510833333</v>
      </c>
      <c r="U35" s="7">
        <f t="shared" si="8"/>
        <v>-5611.648606922251</v>
      </c>
      <c r="V35" s="7">
        <f t="shared" si="9"/>
        <v>5611.648606922251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Exponen'!$H$41</f>
        <v>10563.48392635</v>
      </c>
      <c r="O36" s="7">
        <f>'Double Exponen'!$H$41</f>
        <v>9129.6161817400007</v>
      </c>
      <c r="P36" s="7">
        <f>'triple exponen'!$H$41</f>
        <v>8941.1456237335005</v>
      </c>
      <c r="Q36" s="7">
        <f>'Konstanta a triple'!$H$41</f>
        <v>13242.748857563496</v>
      </c>
      <c r="R36" s="7">
        <f>'Konstanta b triple'!$H$41</f>
        <v>12547.792838438092</v>
      </c>
      <c r="S36" s="7">
        <f>'Konstanta c triple'!$H$41</f>
        <v>6780.4957937301579</v>
      </c>
      <c r="T36" s="7">
        <f>'Peramalan triple'!$H$41</f>
        <v>98125.548857833346</v>
      </c>
      <c r="U36" s="7">
        <f t="shared" si="8"/>
        <v>-1037.3301705531753</v>
      </c>
      <c r="V36" s="7">
        <f t="shared" si="9"/>
        <v>1037.3301705531753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Exponen'!$I$41</f>
        <v>15204.845177904999</v>
      </c>
      <c r="O37" s="7">
        <f>'Double Exponen'!$I$41</f>
        <v>9737.1390813565013</v>
      </c>
      <c r="P37" s="7">
        <f>'triple exponen'!$I$41</f>
        <v>9498.3410440696025</v>
      </c>
      <c r="Q37" s="7">
        <f>'Konstanta a triple'!$I$41</f>
        <v>25901.459333715095</v>
      </c>
      <c r="R37" s="7">
        <f>'Konstanta b triple'!$I$41</f>
        <v>51393.801552046098</v>
      </c>
      <c r="S37" s="7">
        <f>'Konstanta c triple'!$I$41</f>
        <v>28468.499433757584</v>
      </c>
      <c r="T37" s="7">
        <f>'Peramalan triple'!$I$41</f>
        <v>29180.789592866666</v>
      </c>
      <c r="U37" s="7">
        <f t="shared" si="8"/>
        <v>-69.714956338645266</v>
      </c>
      <c r="V37" s="7">
        <f t="shared" si="9"/>
        <v>69.714956338645266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Exponen'!$J$41</f>
        <v>16630.8535533715</v>
      </c>
      <c r="O38" s="7">
        <f>'Double Exponen'!$J$41</f>
        <v>10426.510528558003</v>
      </c>
      <c r="P38" s="7">
        <f>'triple exponen'!$J$41</f>
        <v>10148.059683211484</v>
      </c>
      <c r="Q38" s="7">
        <f>'Konstanta a triple'!$J$41</f>
        <v>28761.088757651974</v>
      </c>
      <c r="R38" s="7">
        <f>'Konstanta b triple'!$J$41</f>
        <v>58262.55927284863</v>
      </c>
      <c r="S38" s="7">
        <f>'Konstanta c triple'!$J$41</f>
        <v>32263.190754875759</v>
      </c>
      <c r="T38" s="7">
        <f>'Peramalan triple'!$J$41</f>
        <v>91529.510602639988</v>
      </c>
      <c r="U38" s="7">
        <f t="shared" si="8"/>
        <v>-430.85205082148235</v>
      </c>
      <c r="V38" s="7">
        <f t="shared" si="9"/>
        <v>430.85205082148235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Exponen'!$K$41</f>
        <v>29606.296066011448</v>
      </c>
      <c r="O39" s="7">
        <f>'Double Exponen'!$K$41</f>
        <v>12344.489082303346</v>
      </c>
      <c r="P39" s="7">
        <f>'triple exponen'!$K$41</f>
        <v>11685.560262575789</v>
      </c>
      <c r="Q39" s="7">
        <f>'Konstanta a triple'!$K$41</f>
        <v>63470.981213700099</v>
      </c>
      <c r="R39" s="7">
        <f>'Konstanta b triple'!$K$41</f>
        <v>162954.37161806406</v>
      </c>
      <c r="S39" s="7">
        <f>'Konstanta c triple'!$K$41</f>
        <v>90393.447781671814</v>
      </c>
      <c r="T39" s="7">
        <f>'Peramalan triple'!$K$41</f>
        <v>103155.24340793848</v>
      </c>
      <c r="U39" s="7">
        <f t="shared" si="8"/>
        <v>-193.32799713351784</v>
      </c>
      <c r="V39" s="7">
        <f t="shared" si="9"/>
        <v>193.32799713351784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Exponen'!$L$41</f>
        <v>13462.268819803436</v>
      </c>
      <c r="O40" s="7">
        <f>'Double Exponen'!$L$41</f>
        <v>12456.267056053355</v>
      </c>
      <c r="P40" s="7">
        <f>'triple exponen'!$L$41</f>
        <v>12225.055018010085</v>
      </c>
      <c r="Q40" s="7">
        <f>'Konstanta a triple'!$L$41</f>
        <v>15243.060309260329</v>
      </c>
      <c r="R40" s="7">
        <f>'Konstanta b triple'!$L$41</f>
        <v>8072.1726442505214</v>
      </c>
      <c r="S40" s="7">
        <f>'Konstanta c triple'!$L$41</f>
        <v>4218.2996177370787</v>
      </c>
      <c r="T40" s="7">
        <f>'Peramalan triple'!$L$41</f>
        <v>271622.07672260003</v>
      </c>
      <c r="U40" s="7">
        <f t="shared" si="8"/>
        <v>-4051.0847070727764</v>
      </c>
      <c r="V40" s="7">
        <f t="shared" si="9"/>
        <v>4051.0847070727764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Exponen'!$M$41</f>
        <v>9919.7586459410322</v>
      </c>
      <c r="O41" s="7">
        <f>'Double Exponen'!$M$41</f>
        <v>12202.616215042122</v>
      </c>
      <c r="P41" s="7">
        <f>'triple exponen'!$M$41</f>
        <v>12209.347855932512</v>
      </c>
      <c r="Q41" s="7">
        <f>'Konstanta a triple'!$M$41</f>
        <v>5360.7751486292436</v>
      </c>
      <c r="R41" s="7">
        <f>'Konstanta b triple'!$M$41</f>
        <v>-22144.70924190382</v>
      </c>
      <c r="S41" s="7">
        <f>'Konstanta c triple'!$M$41</f>
        <v>-12392.241164702697</v>
      </c>
      <c r="T41" s="7">
        <f>'Peramalan triple'!$M$41</f>
        <v>25424.382762379391</v>
      </c>
      <c r="U41" s="7">
        <f t="shared" si="8"/>
        <v>-202.6157438086278</v>
      </c>
      <c r="V41" s="7">
        <f t="shared" si="9"/>
        <v>202.6157438086278</v>
      </c>
    </row>
    <row r="42" spans="12:22" x14ac:dyDescent="0.3">
      <c r="U42" s="7">
        <f>(SUM(U31:U41)/12)</f>
        <v>-1042.6012891378564</v>
      </c>
      <c r="V42" s="7">
        <f>(SUM(V31:V41)/12)</f>
        <v>1056.7714754679464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8B8A-1D65-4D71-80A1-30FB360BDAD3}">
  <dimension ref="A1:AG42"/>
  <sheetViews>
    <sheetView topLeftCell="M1"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6" width="9.44140625" style="6" bestFit="1" customWidth="1"/>
    <col min="7" max="9" width="10.44140625" style="6" bestFit="1" customWidth="1"/>
    <col min="10" max="10" width="9.109375" style="6" bestFit="1" customWidth="1"/>
    <col min="11" max="11" width="8.44140625" style="6" bestFit="1" customWidth="1"/>
    <col min="12" max="12" width="13.6640625" style="6" bestFit="1" customWidth="1"/>
    <col min="13" max="17" width="9.44140625" style="6" bestFit="1" customWidth="1"/>
    <col min="18" max="20" width="11.109375" style="6" bestFit="1" customWidth="1"/>
    <col min="21" max="21" width="9.109375" style="6" bestFit="1" customWidth="1"/>
    <col min="22" max="22" width="8.44140625" style="6" bestFit="1" customWidth="1"/>
    <col min="23" max="23" width="14.109375" style="6" bestFit="1" customWidth="1"/>
    <col min="24" max="27" width="8.44140625" style="6" bestFit="1" customWidth="1"/>
    <col min="28" max="28" width="9.44140625" style="6" bestFit="1" customWidth="1"/>
    <col min="29" max="30" width="10.109375" style="6" bestFit="1" customWidth="1"/>
    <col min="31" max="31" width="11.109375" style="6" bestFit="1" customWidth="1"/>
    <col min="32" max="32" width="8.109375" style="6" bestFit="1" customWidth="1"/>
    <col min="33" max="33" width="7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Exponen'!$B$44</f>
        <v>12588.09</v>
      </c>
      <c r="D2" s="7">
        <f>'Double Exponen'!$B$44</f>
        <v>12588.09</v>
      </c>
      <c r="E2" s="7">
        <f>'triple exponen'!$B$44</f>
        <v>12588.09</v>
      </c>
      <c r="F2" s="7">
        <f>'Konstanta a triple'!$B$44</f>
        <v>12588.09</v>
      </c>
      <c r="G2" s="7">
        <f>'Konstanta b triple'!$B$44</f>
        <v>0</v>
      </c>
      <c r="H2" s="7">
        <f>'Konstanta c triple'!$B$44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Exponen'!$B$45</f>
        <v>459915.78</v>
      </c>
      <c r="O2" s="7">
        <f>'Double Exponen'!$B$45</f>
        <v>459915.78</v>
      </c>
      <c r="P2" s="7">
        <f>'triple exponen'!$B$45</f>
        <v>459915.78</v>
      </c>
      <c r="Q2" s="7">
        <f>'Konstanta a triple'!$B$45</f>
        <v>459915.78</v>
      </c>
      <c r="R2" s="7">
        <f>'Konstanta b triple'!$B$45</f>
        <v>0</v>
      </c>
      <c r="S2" s="7">
        <f>'Konstanta c triple'!$B$45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Exponen'!$B$48</f>
        <v>1033.08</v>
      </c>
      <c r="Z2" s="7">
        <f>'Double Exponen'!$B$48</f>
        <v>1033.08</v>
      </c>
      <c r="AA2" s="7">
        <f>'triple exponen'!$B$48</f>
        <v>1033.08</v>
      </c>
      <c r="AB2" s="7">
        <f>'Konstanta a triple'!$B$48</f>
        <v>1033.08</v>
      </c>
      <c r="AC2" s="7">
        <f>'Konstanta b triple'!$B$48</f>
        <v>0</v>
      </c>
      <c r="AD2" s="7">
        <f>'Konstanta c triple'!$B$48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Exponen'!$C$44</f>
        <v>6349.4180000000006</v>
      </c>
      <c r="D3" s="7">
        <f>'Double Exponen'!$C$44</f>
        <v>11964.2228</v>
      </c>
      <c r="E3" s="7">
        <f>'triple exponen'!$C$44</f>
        <v>12088.99624</v>
      </c>
      <c r="F3" s="7">
        <f>'Konstanta a triple'!$C$44</f>
        <v>-4755.4181599999938</v>
      </c>
      <c r="G3" s="7">
        <f>'Konstanta b triple'!$C$44</f>
        <v>-110299.72095999996</v>
      </c>
      <c r="H3" s="7">
        <f>'Konstanta c triple'!$C$44</f>
        <v>-87840.501760000014</v>
      </c>
      <c r="I3" s="7">
        <f>'Peramalan triple'!$C$26</f>
        <v>12588.089999999993</v>
      </c>
      <c r="J3" s="7">
        <f>((B3-I3)/B3)*100</f>
        <v>-162.81309045357258</v>
      </c>
      <c r="K3" s="7">
        <f>ABS((B3-I3)/B3)*100</f>
        <v>162.81309045357258</v>
      </c>
      <c r="L3" s="7" t="str">
        <f>'Rekap 0,1'!J3</f>
        <v>Februari</v>
      </c>
      <c r="M3" s="7">
        <f>kg!$C$4</f>
        <v>397220.76</v>
      </c>
      <c r="N3" s="7">
        <f>'Single Exponen'!$C$45</f>
        <v>409759.76400000002</v>
      </c>
      <c r="O3" s="7">
        <f>'Double Exponen'!$C$45</f>
        <v>454900.17840000009</v>
      </c>
      <c r="P3" s="7">
        <f>'triple exponen'!$C$45</f>
        <v>455903.29872000014</v>
      </c>
      <c r="Q3" s="7">
        <f>'Konstanta a triple'!$C$45</f>
        <v>320482.05551999999</v>
      </c>
      <c r="R3" s="7">
        <f>'Konstanta b triple'!$C$45</f>
        <v>-886758.36288000096</v>
      </c>
      <c r="S3" s="7">
        <f>'Konstanta c triple'!$C$45</f>
        <v>-706196.70528000081</v>
      </c>
      <c r="T3" s="7">
        <f>'Peramalan triple'!$C$45</f>
        <v>459915.78</v>
      </c>
      <c r="U3" s="7">
        <f t="shared" ref="U3:U13" si="0">((M3-T3)/M3)*100</f>
        <v>-15.783419778966239</v>
      </c>
      <c r="V3" s="7">
        <f t="shared" ref="V3:V13" si="1">ABS((M3-T3)/M3)*100</f>
        <v>15.783419778966239</v>
      </c>
      <c r="W3" s="7" t="str">
        <f>'Rekap 0,1'!S3</f>
        <v>Februari</v>
      </c>
      <c r="X3" s="7">
        <f>kg!$C$7</f>
        <v>25477.94</v>
      </c>
      <c r="Y3" s="7">
        <f>'Single Exponen'!$C$48</f>
        <v>20588.968000000001</v>
      </c>
      <c r="Z3" s="7">
        <f>'Double Exponen'!$C$48</f>
        <v>2988.6687999999999</v>
      </c>
      <c r="AA3" s="7">
        <f>'triple exponen'!$C$48</f>
        <v>2597.5510399999998</v>
      </c>
      <c r="AB3" s="7">
        <f>'Konstanta a triple'!$C$48</f>
        <v>55398.448640000002</v>
      </c>
      <c r="AC3" s="7">
        <f>'Konstanta b triple'!$C$48</f>
        <v>345748.09983999992</v>
      </c>
      <c r="AD3" s="7">
        <f>'Konstanta c triple'!$C$48</f>
        <v>275346.90304000018</v>
      </c>
      <c r="AE3" s="7">
        <f>'Peramalan triple'!$C$48</f>
        <v>1033.08</v>
      </c>
      <c r="AF3" s="7">
        <f>((X3-AE3)/X3)*100</f>
        <v>95.945198081163554</v>
      </c>
      <c r="AG3" s="7">
        <f>ABS((X3-AE3)/X3)*100</f>
        <v>95.945198081163554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Exponen'!$D$44</f>
        <v>18090.5556</v>
      </c>
      <c r="D4" s="7">
        <f>'Double Exponen'!$D$44</f>
        <v>12576.856080000001</v>
      </c>
      <c r="E4" s="7">
        <f>'triple exponen'!$D$44</f>
        <v>12479.284112000001</v>
      </c>
      <c r="F4" s="7">
        <f>'Konstanta a triple'!$D$44</f>
        <v>29020.382671999992</v>
      </c>
      <c r="G4" s="7">
        <f>'Konstanta b triple'!$D$44</f>
        <v>108712.83891199995</v>
      </c>
      <c r="H4" s="7">
        <f>'Konstanta c triple'!$D$44</f>
        <v>86658.040832000028</v>
      </c>
      <c r="I4" s="7">
        <f>'Peramalan triple'!$D$26</f>
        <v>890.58000000000175</v>
      </c>
      <c r="J4" s="7">
        <f t="shared" ref="J4:J13" si="2">((B4-I4)/B4)*100</f>
        <v>95.764354717813887</v>
      </c>
      <c r="K4" s="7">
        <f t="shared" ref="K4:K13" si="3">ABS((B4-I4)/B4)*100</f>
        <v>95.764354717813887</v>
      </c>
      <c r="L4" s="7" t="str">
        <f>'Rekap 0,1'!J4</f>
        <v>Maret</v>
      </c>
      <c r="M4" s="7">
        <f>kg!$D$4</f>
        <v>389238.98</v>
      </c>
      <c r="N4" s="7">
        <f>'Single Exponen'!$D$45</f>
        <v>393343.13679999998</v>
      </c>
      <c r="O4" s="7">
        <f>'Double Exponen'!$D$45</f>
        <v>448744.47424000001</v>
      </c>
      <c r="P4" s="7">
        <f>'triple exponen'!$D$45</f>
        <v>450176.23913600005</v>
      </c>
      <c r="Q4" s="7">
        <f>'Konstanta a triple'!$D$45</f>
        <v>283972.22681599983</v>
      </c>
      <c r="R4" s="7">
        <f>'Konstanta b triple'!$D$45</f>
        <v>-1085118.5104640012</v>
      </c>
      <c r="S4" s="7">
        <f>'Konstanta c triple'!$D$45</f>
        <v>-863513.1607040005</v>
      </c>
      <c r="T4" s="7">
        <f>'Peramalan triple'!$D$45</f>
        <v>-919374.66000000131</v>
      </c>
      <c r="U4" s="7">
        <f t="shared" si="0"/>
        <v>336.19799332533483</v>
      </c>
      <c r="V4" s="7">
        <f t="shared" si="1"/>
        <v>336.19799332533483</v>
      </c>
      <c r="W4" s="7" t="str">
        <f>'Rekap 0,1'!S4</f>
        <v>Maret</v>
      </c>
      <c r="X4" s="7">
        <f>kg!$D$7</f>
        <v>19497.02</v>
      </c>
      <c r="Y4" s="7">
        <f>'Single Exponen'!$D$48</f>
        <v>19715.409599999999</v>
      </c>
      <c r="Z4" s="7">
        <f>'Double Exponen'!$D$48</f>
        <v>4661.3428800000002</v>
      </c>
      <c r="AA4" s="7">
        <f>'triple exponen'!$D$48</f>
        <v>4248.5845120000004</v>
      </c>
      <c r="AB4" s="7">
        <f>'Konstanta a triple'!$D$48</f>
        <v>49410.784671999994</v>
      </c>
      <c r="AC4" s="7">
        <f>'Konstanta b triple'!$D$48</f>
        <v>294477.20051199995</v>
      </c>
      <c r="AD4" s="7">
        <f>'Konstanta c triple'!$D$48</f>
        <v>234260.93363200015</v>
      </c>
      <c r="AE4" s="7">
        <f>'Peramalan triple'!$D$48</f>
        <v>538820</v>
      </c>
      <c r="AF4" s="7">
        <f t="shared" ref="AF4:AF13" si="4">((X4-AE4)/X4)*100</f>
        <v>-2663.6018222271914</v>
      </c>
      <c r="AG4" s="7">
        <f t="shared" ref="AG4:AG13" si="5">ABS((X4-AE4)/X4)*100</f>
        <v>2663.6018222271914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Exponen'!$E$44</f>
        <v>12498.887119999999</v>
      </c>
      <c r="D5" s="7">
        <f>'Double Exponen'!$E$44</f>
        <v>12569.059184000002</v>
      </c>
      <c r="E5" s="7">
        <f>'triple exponen'!$E$44</f>
        <v>12551.104169600003</v>
      </c>
      <c r="F5" s="7">
        <f>'Konstanta a triple'!$E$44</f>
        <v>12340.587977599993</v>
      </c>
      <c r="G5" s="7">
        <f>'Konstanta b triple'!$E$44</f>
        <v>-1690.7215103999986</v>
      </c>
      <c r="H5" s="7">
        <f>'Konstanta c triple'!$E$44</f>
        <v>-1410.033254400013</v>
      </c>
      <c r="I5" s="7">
        <f>'Peramalan triple'!$E$26</f>
        <v>25244.715000000011</v>
      </c>
      <c r="J5" s="7">
        <f t="shared" si="2"/>
        <v>-127.40999209978958</v>
      </c>
      <c r="K5" s="7">
        <f t="shared" si="3"/>
        <v>127.40999209978958</v>
      </c>
      <c r="L5" s="7" t="str">
        <f>'Rekap 0,1'!J5</f>
        <v>April</v>
      </c>
      <c r="M5" s="7">
        <f>kg!$E$4</f>
        <v>505904.1</v>
      </c>
      <c r="N5" s="7">
        <f>'Single Exponen'!$E$45</f>
        <v>483391.90736000001</v>
      </c>
      <c r="O5" s="7">
        <f>'Double Exponen'!$E$45</f>
        <v>452209.21755200002</v>
      </c>
      <c r="P5" s="7">
        <f>'triple exponen'!$E$45</f>
        <v>451802.62186880002</v>
      </c>
      <c r="Q5" s="7">
        <f>'Konstanta a triple'!$E$45</f>
        <v>545350.69129279989</v>
      </c>
      <c r="R5" s="7">
        <f>'Konstanta b triple'!$E$45</f>
        <v>617148.26522879873</v>
      </c>
      <c r="S5" s="7">
        <f>'Konstanta c triple'!$E$45</f>
        <v>492417.50599680038</v>
      </c>
      <c r="T5" s="7">
        <f>'Peramalan triple'!$E$45</f>
        <v>-1232902.8640000017</v>
      </c>
      <c r="U5" s="7">
        <f t="shared" si="0"/>
        <v>343.7028804471048</v>
      </c>
      <c r="V5" s="7">
        <f t="shared" si="1"/>
        <v>343.7028804471048</v>
      </c>
      <c r="W5" s="7" t="str">
        <f>'Rekap 0,1'!S5</f>
        <v>April</v>
      </c>
      <c r="X5" s="7">
        <f>kg!$E$7</f>
        <v>18855.900000000001</v>
      </c>
      <c r="Y5" s="7">
        <f>'Single Exponen'!$E$48</f>
        <v>19027.801920000002</v>
      </c>
      <c r="Z5" s="7">
        <f>'Double Exponen'!$E$48</f>
        <v>6097.9887840000001</v>
      </c>
      <c r="AA5" s="7">
        <f>'triple exponen'!$E$48</f>
        <v>5728.1079295999998</v>
      </c>
      <c r="AB5" s="7">
        <f>'Konstanta a triple'!$E$48</f>
        <v>44517.547337600008</v>
      </c>
      <c r="AC5" s="7">
        <f>'Konstanta b triple'!$E$48</f>
        <v>252678.16904959999</v>
      </c>
      <c r="AD5" s="7">
        <f>'Konstanta c triple'!$E$48</f>
        <v>200958.91650560018</v>
      </c>
      <c r="AE5" s="7">
        <f>'Peramalan triple'!$E$48</f>
        <v>461018.45199999999</v>
      </c>
      <c r="AF5" s="7">
        <f t="shared" si="4"/>
        <v>-2344.9559660371551</v>
      </c>
      <c r="AG5" s="7">
        <f t="shared" si="5"/>
        <v>2344.9559660371551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Exponen'!$F$44</f>
        <v>9776.3054240000001</v>
      </c>
      <c r="D6" s="7">
        <f>'Double Exponen'!$F$44</f>
        <v>12289.783808000002</v>
      </c>
      <c r="E6" s="7">
        <f>'triple exponen'!$F$44</f>
        <v>12342.047880320004</v>
      </c>
      <c r="F6" s="7">
        <f>'Konstanta a triple'!$F$44</f>
        <v>4801.6127283199985</v>
      </c>
      <c r="G6" s="7">
        <f>'Konstanta b triple'!$F$44</f>
        <v>-49433.342522880004</v>
      </c>
      <c r="H6" s="7">
        <f>'Konstanta c triple'!$F$44</f>
        <v>-39379.428986880026</v>
      </c>
      <c r="I6" s="7">
        <f>'Peramalan triple'!$F$26</f>
        <v>12306.99499999999</v>
      </c>
      <c r="J6" s="7">
        <f t="shared" si="2"/>
        <v>-35.306233962131287</v>
      </c>
      <c r="K6" s="7">
        <f t="shared" si="3"/>
        <v>35.306233962131287</v>
      </c>
      <c r="L6" s="7" t="str">
        <f>'Rekap 0,1'!J6</f>
        <v>Mei</v>
      </c>
      <c r="M6" s="7">
        <f>kg!$F$4</f>
        <v>201079.58</v>
      </c>
      <c r="N6" s="7">
        <f>'Single Exponen'!$F$45</f>
        <v>257542.04547200003</v>
      </c>
      <c r="O6" s="7">
        <f>'Double Exponen'!$F$45</f>
        <v>432742.500344</v>
      </c>
      <c r="P6" s="7">
        <f>'triple exponen'!$F$45</f>
        <v>436554.5246489601</v>
      </c>
      <c r="Q6" s="7">
        <f>'Konstanta a triple'!$F$45</f>
        <v>-89046.839967039763</v>
      </c>
      <c r="R6" s="7">
        <f>'Konstanta b triple'!$F$45</f>
        <v>-3443016.7085606377</v>
      </c>
      <c r="S6" s="7">
        <f>'Konstanta c triple'!$F$45</f>
        <v>-2742214.8890726399</v>
      </c>
      <c r="T6" s="7">
        <f>'Peramalan triple'!$F$45</f>
        <v>1408707.7095199989</v>
      </c>
      <c r="U6" s="7">
        <f t="shared" si="0"/>
        <v>-600.57223588790021</v>
      </c>
      <c r="V6" s="7">
        <f t="shared" si="1"/>
        <v>600.57223588790021</v>
      </c>
      <c r="W6" s="7" t="str">
        <f>'Rekap 0,1'!S6</f>
        <v>Mei</v>
      </c>
      <c r="X6" s="7">
        <f>kg!$F$7</f>
        <v>26851.599999999999</v>
      </c>
      <c r="Y6" s="7">
        <f>'Single Exponen'!$F$48</f>
        <v>25286.840383999999</v>
      </c>
      <c r="Z6" s="7">
        <f>'Double Exponen'!$F$48</f>
        <v>8016.8739440000008</v>
      </c>
      <c r="AA6" s="7">
        <f>'triple exponen'!$F$48</f>
        <v>7559.1207411200012</v>
      </c>
      <c r="AB6" s="7">
        <f>'Konstanta a triple'!$F$48</f>
        <v>59369.020061119998</v>
      </c>
      <c r="AC6" s="7">
        <f>'Konstanta b triple'!$F$48</f>
        <v>338075.27755391988</v>
      </c>
      <c r="AD6" s="7">
        <f>'Konstanta c triple'!$F$48</f>
        <v>268995.41179392015</v>
      </c>
      <c r="AE6" s="7">
        <f>'Peramalan triple'!$F$48</f>
        <v>397675.1746400001</v>
      </c>
      <c r="AF6" s="7">
        <f t="shared" si="4"/>
        <v>-1381.0110929702519</v>
      </c>
      <c r="AG6" s="7">
        <f t="shared" si="5"/>
        <v>1381.0110929702519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Exponen'!$G$44</f>
        <v>8503.5490848000009</v>
      </c>
      <c r="D7" s="7">
        <f>'Double Exponen'!$G$44</f>
        <v>11911.160335680004</v>
      </c>
      <c r="E7" s="7">
        <f>'triple exponen'!$G$44</f>
        <v>11997.337844608006</v>
      </c>
      <c r="F7" s="7">
        <f>'Konstanta a triple'!$G$44</f>
        <v>1774.5040919679959</v>
      </c>
      <c r="G7" s="7">
        <f>'Konstanta b triple'!$G$44</f>
        <v>-66773.384874752039</v>
      </c>
      <c r="H7" s="7">
        <f>'Konstanta c triple'!$G$44</f>
        <v>-53142.939871232062</v>
      </c>
      <c r="I7" s="7">
        <f>'Peramalan triple'!$G$26</f>
        <v>6702.19625000003</v>
      </c>
      <c r="J7" s="7">
        <f t="shared" si="2"/>
        <v>18.119713121963724</v>
      </c>
      <c r="K7" s="7">
        <f t="shared" si="3"/>
        <v>18.119713121963724</v>
      </c>
      <c r="L7" s="7" t="str">
        <f>'Rekap 0,1'!J7</f>
        <v>Juni</v>
      </c>
      <c r="M7" s="7">
        <f>kg!$G$4</f>
        <v>378271.8</v>
      </c>
      <c r="N7" s="7">
        <f>'Single Exponen'!$G$45</f>
        <v>354125.84909439995</v>
      </c>
      <c r="O7" s="7">
        <f>'Double Exponen'!$G$45</f>
        <v>424880.83521904005</v>
      </c>
      <c r="P7" s="7">
        <f>'triple exponen'!$G$45</f>
        <v>427215.57310502412</v>
      </c>
      <c r="Q7" s="7">
        <f>'Konstanta a triple'!$G$45</f>
        <v>214950.61473110382</v>
      </c>
      <c r="R7" s="7">
        <f>'Konstanta b triple'!$G$45</f>
        <v>-1377743.9163170578</v>
      </c>
      <c r="S7" s="7">
        <f>'Konstanta c triple'!$G$45</f>
        <v>-1094723.9718184972</v>
      </c>
      <c r="T7" s="7">
        <f>'Peramalan triple'!$G$45</f>
        <v>-4903170.9930639975</v>
      </c>
      <c r="U7" s="7">
        <f t="shared" si="0"/>
        <v>1396.2031515603323</v>
      </c>
      <c r="V7" s="7">
        <f t="shared" si="1"/>
        <v>1396.2031515603323</v>
      </c>
      <c r="W7" s="7" t="str">
        <f>'Rekap 0,1'!S7</f>
        <v>Juni</v>
      </c>
      <c r="X7" s="7">
        <f>kg!$G$7</f>
        <v>17468.29</v>
      </c>
      <c r="Y7" s="7">
        <f>'Single Exponen'!$G$48</f>
        <v>19032.000076800003</v>
      </c>
      <c r="Z7" s="7">
        <f>'Double Exponen'!$G$48</f>
        <v>9118.3865572800005</v>
      </c>
      <c r="AA7" s="7">
        <f>'triple exponen'!$G$48</f>
        <v>8806.5333940480014</v>
      </c>
      <c r="AB7" s="7">
        <f>'Konstanta a triple'!$G$48</f>
        <v>38547.373952608003</v>
      </c>
      <c r="AC7" s="7">
        <f>'Konstanta b triple'!$G$48</f>
        <v>193282.61977868804</v>
      </c>
      <c r="AD7" s="7">
        <f>'Konstanta c triple'!$G$48</f>
        <v>153628.16570060817</v>
      </c>
      <c r="AE7" s="7">
        <f>'Peramalan triple'!$G$48</f>
        <v>531942.00351199997</v>
      </c>
      <c r="AF7" s="7">
        <f t="shared" si="4"/>
        <v>-2945.1864693796588</v>
      </c>
      <c r="AG7" s="7">
        <f t="shared" si="5"/>
        <v>2945.1864693796588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Exponen'!$H$44</f>
        <v>16313.029816960001</v>
      </c>
      <c r="D8" s="7">
        <f>'Double Exponen'!$H$44</f>
        <v>12351.347283808005</v>
      </c>
      <c r="E8" s="7">
        <f>'triple exponen'!$H$44</f>
        <v>12280.545395968005</v>
      </c>
      <c r="F8" s="7">
        <f>'Konstanta a triple'!$H$44</f>
        <v>24165.592995423995</v>
      </c>
      <c r="G8" s="7">
        <f>'Konstanta b triple'!$H$44</f>
        <v>78100.820457599868</v>
      </c>
      <c r="H8" s="7">
        <f>'Konstanta c triple'!$H$44</f>
        <v>62254.090324991979</v>
      </c>
      <c r="I8" s="7">
        <f>'Peramalan triple'!$H$26</f>
        <v>5504.791250000012</v>
      </c>
      <c r="J8" s="7">
        <f t="shared" si="2"/>
        <v>69.862191630076467</v>
      </c>
      <c r="K8" s="7">
        <f t="shared" si="3"/>
        <v>69.862191630076467</v>
      </c>
      <c r="L8" s="7" t="str">
        <f>'Rekap 0,1'!J8</f>
        <v>Juli</v>
      </c>
      <c r="M8" s="7">
        <f>kg!$H$4</f>
        <v>463478.68</v>
      </c>
      <c r="N8" s="7">
        <f>'Single Exponen'!$H$45</f>
        <v>441608.11381887994</v>
      </c>
      <c r="O8" s="7">
        <f>'Double Exponen'!$H$45</f>
        <v>426553.56307902402</v>
      </c>
      <c r="P8" s="7">
        <f>'triple exponen'!$H$45</f>
        <v>426685.96508422412</v>
      </c>
      <c r="Q8" s="7">
        <f>'Konstanta a triple'!$H$45</f>
        <v>471849.61730379181</v>
      </c>
      <c r="R8" s="7">
        <f>'Konstanta b triple'!$H$45</f>
        <v>303209.4468803191</v>
      </c>
      <c r="S8" s="7">
        <f>'Konstanta c triple'!$H$45</f>
        <v>242991.24392089638</v>
      </c>
      <c r="T8" s="7">
        <f>'Peramalan triple'!$H$45</f>
        <v>-1710155.2874952024</v>
      </c>
      <c r="U8" s="7">
        <f t="shared" si="0"/>
        <v>468.98251446974922</v>
      </c>
      <c r="V8" s="7">
        <f t="shared" si="1"/>
        <v>468.98251446974922</v>
      </c>
      <c r="W8" s="7" t="str">
        <f>'Rekap 0,1'!S8</f>
        <v>Juli</v>
      </c>
      <c r="X8" s="7">
        <f>kg!$H$7</f>
        <v>53358.239999999998</v>
      </c>
      <c r="Y8" s="7">
        <f>'Single Exponen'!$H$48</f>
        <v>46492.992015359996</v>
      </c>
      <c r="Z8" s="7">
        <f>'Double Exponen'!$H$48</f>
        <v>12855.847103088003</v>
      </c>
      <c r="AA8" s="7">
        <f>'triple exponen'!$H$48</f>
        <v>12045.984361280003</v>
      </c>
      <c r="AB8" s="7">
        <f>'Konstanta a triple'!$H$48</f>
        <v>112957.419098096</v>
      </c>
      <c r="AC8" s="7">
        <f>'Konstanta b triple'!$H$48</f>
        <v>659785.09437651176</v>
      </c>
      <c r="AD8" s="7">
        <f>'Konstanta c triple'!$H$48</f>
        <v>525236.51472742425</v>
      </c>
      <c r="AE8" s="7">
        <f>'Peramalan triple'!$H$48</f>
        <v>308644.07658160012</v>
      </c>
      <c r="AF8" s="7">
        <f t="shared" si="4"/>
        <v>-478.43751327180229</v>
      </c>
      <c r="AG8" s="7">
        <f t="shared" si="5"/>
        <v>478.43751327180229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Exponen'!$I$44</f>
        <v>12098.349963392</v>
      </c>
      <c r="D9" s="7">
        <f>'Double Exponen'!$I$44</f>
        <v>12326.047551766404</v>
      </c>
      <c r="E9" s="7">
        <f>'triple exponen'!$I$44</f>
        <v>12316.947120606725</v>
      </c>
      <c r="F9" s="7">
        <f>'Konstanta a triple'!$I$44</f>
        <v>11633.854355483512</v>
      </c>
      <c r="G9" s="7">
        <f>'Konstanta b triple'!$I$44</f>
        <v>-4699.5586660429026</v>
      </c>
      <c r="H9" s="7">
        <f>'Konstanta c triple'!$I$44</f>
        <v>-3788.7683125453214</v>
      </c>
      <c r="I9" s="7">
        <f>'Peramalan triple'!$I$26</f>
        <v>21708.656562499993</v>
      </c>
      <c r="J9" s="7">
        <f t="shared" si="2"/>
        <v>-96.553060500621044</v>
      </c>
      <c r="K9" s="7">
        <f t="shared" si="3"/>
        <v>96.553060500621044</v>
      </c>
      <c r="L9" s="7" t="str">
        <f>'Rekap 0,1'!J9</f>
        <v>Agustus</v>
      </c>
      <c r="M9" s="7">
        <f>kg!$I$4</f>
        <v>511860.86</v>
      </c>
      <c r="N9" s="7">
        <f>'Single Exponen'!$I$45</f>
        <v>497810.31076377595</v>
      </c>
      <c r="O9" s="7">
        <f>'Double Exponen'!$I$45</f>
        <v>433679.23784749932</v>
      </c>
      <c r="P9" s="7">
        <f>'triple exponen'!$I$45</f>
        <v>432280.58329484437</v>
      </c>
      <c r="Q9" s="7">
        <f>'Konstanta a triple'!$I$45</f>
        <v>624673.8020436744</v>
      </c>
      <c r="R9" s="7">
        <f>'Konstanta b triple'!$I$45</f>
        <v>1260242.9854830538</v>
      </c>
      <c r="S9" s="7">
        <f>'Konstanta c triple'!$I$45</f>
        <v>1003718.6938179478</v>
      </c>
      <c r="T9" s="7">
        <f>'Peramalan triple'!$I$45</f>
        <v>896554.68614455906</v>
      </c>
      <c r="U9" s="7">
        <f t="shared" si="0"/>
        <v>-75.155937131930557</v>
      </c>
      <c r="V9" s="7">
        <f t="shared" si="1"/>
        <v>75.155937131930557</v>
      </c>
      <c r="W9" s="7" t="str">
        <f>'Rekap 0,1'!S9</f>
        <v>Agustus</v>
      </c>
      <c r="X9" s="7">
        <f>kg!$I$7</f>
        <v>31973.26</v>
      </c>
      <c r="Y9" s="7">
        <f>'Single Exponen'!$I$48</f>
        <v>34877.206403071999</v>
      </c>
      <c r="Z9" s="7">
        <f>'Double Exponen'!$I$48</f>
        <v>15057.983033086402</v>
      </c>
      <c r="AA9" s="7">
        <f>'triple exponen'!$I$48</f>
        <v>14455.583298725123</v>
      </c>
      <c r="AB9" s="7">
        <f>'Konstanta a triple'!$I$48</f>
        <v>73913.253408681921</v>
      </c>
      <c r="AC9" s="7">
        <f>'Konstanta b triple'!$I$48</f>
        <v>386746.07164993149</v>
      </c>
      <c r="AD9" s="7">
        <f>'Konstanta c triple'!$I$48</f>
        <v>307469.17816998932</v>
      </c>
      <c r="AE9" s="7">
        <f>'Peramalan triple'!$I$48</f>
        <v>1035360.7708383198</v>
      </c>
      <c r="AF9" s="7">
        <f t="shared" si="4"/>
        <v>-3138.2083367111136</v>
      </c>
      <c r="AG9" s="7">
        <f t="shared" si="5"/>
        <v>3138.2083367111136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Exponen'!$J$44</f>
        <v>11131.3099926784</v>
      </c>
      <c r="D10" s="7">
        <f>'Double Exponen'!$J$44</f>
        <v>12206.573795857603</v>
      </c>
      <c r="E10" s="7">
        <f>'triple exponen'!$J$44</f>
        <v>12228.648460807428</v>
      </c>
      <c r="F10" s="7">
        <f>'Konstanta a triple'!$J$44</f>
        <v>9002.8570512698243</v>
      </c>
      <c r="G10" s="7">
        <f>'Konstanta b triple'!$J$44</f>
        <v>-21152.081424386812</v>
      </c>
      <c r="H10" s="7">
        <f>'Konstanta c triple'!$J$44</f>
        <v>-16851.026211670058</v>
      </c>
      <c r="I10" s="7">
        <f>'Peramalan triple'!$J$26</f>
        <v>11904.225937500018</v>
      </c>
      <c r="J10" s="7">
        <f t="shared" si="2"/>
        <v>-9.3178867584061624</v>
      </c>
      <c r="K10" s="7">
        <f t="shared" si="3"/>
        <v>9.3178867584061624</v>
      </c>
      <c r="L10" s="7" t="str">
        <f>'Rekap 0,1'!J10</f>
        <v>September</v>
      </c>
      <c r="M10" s="7">
        <f>kg!$J$4</f>
        <v>513170.2</v>
      </c>
      <c r="N10" s="7">
        <f>'Single Exponen'!$J$45</f>
        <v>510098.22215275519</v>
      </c>
      <c r="O10" s="7">
        <f>'Double Exponen'!$J$45</f>
        <v>441321.13627802493</v>
      </c>
      <c r="P10" s="7">
        <f>'triple exponen'!$J$45</f>
        <v>439513.0256813888</v>
      </c>
      <c r="Q10" s="7">
        <f>'Konstanta a triple'!$J$45</f>
        <v>645844.28330557956</v>
      </c>
      <c r="R10" s="7">
        <f>'Konstanta b triple'!$J$45</f>
        <v>1346611.947948426</v>
      </c>
      <c r="S10" s="7">
        <f>'Konstanta c triple'!$J$45</f>
        <v>1071503.6044495066</v>
      </c>
      <c r="T10" s="7">
        <f>'Peramalan triple'!$J$45</f>
        <v>2386776.1344357021</v>
      </c>
      <c r="U10" s="7">
        <f t="shared" si="0"/>
        <v>-365.10419631453698</v>
      </c>
      <c r="V10" s="7">
        <f t="shared" si="1"/>
        <v>365.10419631453698</v>
      </c>
      <c r="W10" s="7" t="str">
        <f>'Rekap 0,1'!S10</f>
        <v>September</v>
      </c>
      <c r="X10" s="7">
        <f>kg!$J$7</f>
        <v>28522.799999999999</v>
      </c>
      <c r="Y10" s="7">
        <f>'Single Exponen'!$J$48</f>
        <v>29793.681280614401</v>
      </c>
      <c r="Z10" s="7">
        <f>'Double Exponen'!$J$48</f>
        <v>16531.5528578392</v>
      </c>
      <c r="AA10" s="7">
        <f>'triple exponen'!$J$48</f>
        <v>16116.358946016386</v>
      </c>
      <c r="AB10" s="7">
        <f>'Konstanta a triple'!$J$48</f>
        <v>55902.744214341983</v>
      </c>
      <c r="AC10" s="7">
        <f>'Konstanta b triple'!$J$48</f>
        <v>258599.46586633893</v>
      </c>
      <c r="AD10" s="7">
        <f>'Konstanta c triple'!$J$48</f>
        <v>205550.95217523832</v>
      </c>
      <c r="AE10" s="7">
        <f>'Peramalan triple'!$J$48</f>
        <v>614393.91414360807</v>
      </c>
      <c r="AF10" s="7">
        <f t="shared" si="4"/>
        <v>-2054.0448838950174</v>
      </c>
      <c r="AG10" s="7">
        <f t="shared" si="5"/>
        <v>2054.0448838950174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Exponen'!$K$44</f>
        <v>8951.3339985356797</v>
      </c>
      <c r="D11" s="7">
        <f>'Double Exponen'!$K$44</f>
        <v>11881.049816125413</v>
      </c>
      <c r="E11" s="7">
        <f>'triple exponen'!$K$44</f>
        <v>11950.569545061817</v>
      </c>
      <c r="F11" s="7">
        <f>'Konstanta a triple'!$K$44</f>
        <v>3161.4220922926197</v>
      </c>
      <c r="G11" s="7">
        <f>'Konstanta b triple'!$K$44</f>
        <v>-57482.000688812215</v>
      </c>
      <c r="H11" s="7">
        <f>'Konstanta c triple'!$K$44</f>
        <v>-45763.137418453291</v>
      </c>
      <c r="I11" s="7">
        <f>'Peramalan triple'!$K$26</f>
        <v>9728.9653906249914</v>
      </c>
      <c r="J11" s="7">
        <f t="shared" si="2"/>
        <v>-15.733665193472918</v>
      </c>
      <c r="K11" s="7">
        <f t="shared" si="3"/>
        <v>15.733665193472918</v>
      </c>
      <c r="L11" s="7" t="str">
        <f>'Rekap 0,1'!J11</f>
        <v>Oktober</v>
      </c>
      <c r="M11" s="7">
        <f>kg!$K$4</f>
        <v>525723.46</v>
      </c>
      <c r="N11" s="7">
        <f>'Single Exponen'!$K$45</f>
        <v>522598.41243055102</v>
      </c>
      <c r="O11" s="7">
        <f>'Double Exponen'!$K$45</f>
        <v>449448.86389327759</v>
      </c>
      <c r="P11" s="7">
        <f>'triple exponen'!$K$45</f>
        <v>447461.69625089981</v>
      </c>
      <c r="Q11" s="7">
        <f>'Konstanta a triple'!$K$45</f>
        <v>666910.34186272009</v>
      </c>
      <c r="R11" s="7">
        <f>'Konstanta b triple'!$K$45</f>
        <v>1431196.2884674242</v>
      </c>
      <c r="S11" s="7">
        <f>'Konstanta c triple'!$K$45</f>
        <v>1138598.094318331</v>
      </c>
      <c r="T11" s="7">
        <f>'Peramalan triple'!$K$45</f>
        <v>2528208.0334787588</v>
      </c>
      <c r="U11" s="7">
        <f t="shared" si="0"/>
        <v>-380.900744562314</v>
      </c>
      <c r="V11" s="7">
        <f t="shared" si="1"/>
        <v>380.900744562314</v>
      </c>
      <c r="W11" s="7" t="str">
        <f>'Rekap 0,1'!S11</f>
        <v>Oktober</v>
      </c>
      <c r="X11" s="7">
        <f>kg!$K$7</f>
        <v>51078.26</v>
      </c>
      <c r="Y11" s="7">
        <f>'Single Exponen'!$K$48</f>
        <v>46821.34425612288</v>
      </c>
      <c r="Z11" s="7">
        <f>'Double Exponen'!$K$48</f>
        <v>19560.531997667571</v>
      </c>
      <c r="AA11" s="7">
        <f>'triple exponen'!$K$48</f>
        <v>18871.697387337335</v>
      </c>
      <c r="AB11" s="7">
        <f>'Konstanta a triple'!$K$48</f>
        <v>100654.13416270325</v>
      </c>
      <c r="AC11" s="7">
        <f>'Konstanta b triple'!$K$48</f>
        <v>534194.89140382234</v>
      </c>
      <c r="AD11" s="7">
        <f>'Konstanta c triple'!$K$48</f>
        <v>425151.64237000147</v>
      </c>
      <c r="AE11" s="7">
        <f>'Peramalan triple'!$K$48</f>
        <v>417277.68616830005</v>
      </c>
      <c r="AF11" s="7">
        <f t="shared" si="4"/>
        <v>-716.93794222493091</v>
      </c>
      <c r="AG11" s="7">
        <f t="shared" si="5"/>
        <v>716.93794222493091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Exponen'!$L$44</f>
        <v>16310.226799707136</v>
      </c>
      <c r="D12" s="7">
        <f>'Double Exponen'!$L$44</f>
        <v>12323.967514483586</v>
      </c>
      <c r="E12" s="7">
        <f>'triple exponen'!$L$44</f>
        <v>12249.287920599232</v>
      </c>
      <c r="F12" s="7">
        <f>'Konstanta a triple'!$L$44</f>
        <v>24208.065776269887</v>
      </c>
      <c r="G12" s="7">
        <f>'Konstanta b triple'!$L$44</f>
        <v>78530.312202321322</v>
      </c>
      <c r="H12" s="7">
        <f>'Konstanta c triple'!$L$44</f>
        <v>62585.275061427194</v>
      </c>
      <c r="I12" s="7">
        <f>'Peramalan triple'!$L$26</f>
        <v>6150.978203124997</v>
      </c>
      <c r="J12" s="7">
        <f t="shared" si="2"/>
        <v>66.110219570164134</v>
      </c>
      <c r="K12" s="7">
        <f t="shared" si="3"/>
        <v>66.110219570164134</v>
      </c>
      <c r="L12" s="7" t="str">
        <f>'Rekap 0,1'!J12</f>
        <v>November</v>
      </c>
      <c r="M12" s="7">
        <f>kg!$L$4</f>
        <v>480711.96</v>
      </c>
      <c r="N12" s="7">
        <f>'Single Exponen'!$L$45</f>
        <v>489089.25048611022</v>
      </c>
      <c r="O12" s="7">
        <f>'Double Exponen'!$L$45</f>
        <v>453412.9025525609</v>
      </c>
      <c r="P12" s="7">
        <f>'triple exponen'!$L$45</f>
        <v>452222.66129222873</v>
      </c>
      <c r="Q12" s="7">
        <f>'Konstanta a triple'!$L$45</f>
        <v>559251.70509287657</v>
      </c>
      <c r="R12" s="7">
        <f>'Konstanta b triple'!$L$45</f>
        <v>694483.09850567125</v>
      </c>
      <c r="S12" s="7">
        <f>'Konstanta c triple'!$L$45</f>
        <v>551777.70677147468</v>
      </c>
      <c r="T12" s="7">
        <f>'Peramalan triple'!$L$45</f>
        <v>2667405.67748931</v>
      </c>
      <c r="U12" s="7">
        <f t="shared" si="0"/>
        <v>-454.88648077100271</v>
      </c>
      <c r="V12" s="7">
        <f t="shared" si="1"/>
        <v>454.88648077100271</v>
      </c>
      <c r="W12" s="7" t="str">
        <f>'Rekap 0,1'!S12</f>
        <v>November</v>
      </c>
      <c r="X12" s="7">
        <f>kg!$L$7</f>
        <v>50149.88</v>
      </c>
      <c r="Y12" s="7">
        <f>'Single Exponen'!$L$48</f>
        <v>49484.172851224575</v>
      </c>
      <c r="Z12" s="7">
        <f>'Double Exponen'!$L$48</f>
        <v>22552.896083023275</v>
      </c>
      <c r="AA12" s="7">
        <f>'triple exponen'!$L$48</f>
        <v>21816.65634388609</v>
      </c>
      <c r="AB12" s="7">
        <f>'Konstanta a triple'!$L$48</f>
        <v>102610.48664849</v>
      </c>
      <c r="AC12" s="7">
        <f>'Konstanta b triple'!$L$48</f>
        <v>526845.69953783089</v>
      </c>
      <c r="AD12" s="7">
        <f>'Konstanta c triple'!$L$48</f>
        <v>419120.59246502613</v>
      </c>
      <c r="AE12" s="7">
        <f>'Peramalan triple'!$L$48</f>
        <v>847424.84675152635</v>
      </c>
      <c r="AF12" s="7">
        <f t="shared" si="4"/>
        <v>-1589.7843957982082</v>
      </c>
      <c r="AG12" s="7">
        <f t="shared" si="5"/>
        <v>1589.7843957982082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Exponen'!$M$44</f>
        <v>12786.357359941427</v>
      </c>
      <c r="D13" s="7">
        <f>'Double Exponen'!$M$44</f>
        <v>12370.206499029371</v>
      </c>
      <c r="E13" s="7">
        <f>'triple exponen'!$M$44</f>
        <v>12346.022783343346</v>
      </c>
      <c r="F13" s="7">
        <f>'Konstanta a triple'!$M$44</f>
        <v>13594.475366079518</v>
      </c>
      <c r="G13" s="7">
        <f>'Konstanta b triple'!$M$44</f>
        <v>7936.0777672647218</v>
      </c>
      <c r="H13" s="7">
        <f>'Konstanta c triple'!$M$44</f>
        <v>6271.4743236164841</v>
      </c>
      <c r="I13" s="7">
        <f>'Peramalan triple'!$M$26</f>
        <v>21256.787753906276</v>
      </c>
      <c r="J13" s="7">
        <f t="shared" si="2"/>
        <v>-78.547596961597037</v>
      </c>
      <c r="K13" s="7">
        <f t="shared" si="3"/>
        <v>78.547596961597037</v>
      </c>
      <c r="L13" s="7" t="str">
        <f>'Rekap 0,1'!J13</f>
        <v>Desember</v>
      </c>
      <c r="M13" s="7">
        <f>kg!$M$4</f>
        <v>428532.64</v>
      </c>
      <c r="N13" s="7">
        <f>'Single Exponen'!$M$45</f>
        <v>440643.96209722204</v>
      </c>
      <c r="O13" s="7">
        <f>'Double Exponen'!$M$45</f>
        <v>452136.008507027</v>
      </c>
      <c r="P13" s="7">
        <f>'triple exponen'!$M$45</f>
        <v>452153.33906406735</v>
      </c>
      <c r="Q13" s="7">
        <f>'Konstanta a triple'!$M$45</f>
        <v>417677.19983465259</v>
      </c>
      <c r="R13" s="7">
        <f>'Konstanta b triple'!$M$45</f>
        <v>-229563.63928345378</v>
      </c>
      <c r="S13" s="7">
        <f>'Konstanta c triple'!$M$45</f>
        <v>-183595.45364423387</v>
      </c>
      <c r="T13" s="7">
        <f>'Peramalan triple'!$M$45</f>
        <v>1529623.6569842852</v>
      </c>
      <c r="U13" s="7">
        <f t="shared" si="0"/>
        <v>-256.94449248586648</v>
      </c>
      <c r="V13" s="7">
        <f t="shared" si="1"/>
        <v>256.94449248586648</v>
      </c>
      <c r="W13" s="7" t="str">
        <f>'Rekap 0,1'!S13</f>
        <v>Desember</v>
      </c>
      <c r="X13" s="7">
        <f>kg!$M$7</f>
        <v>42897.42</v>
      </c>
      <c r="Y13" s="7">
        <f>'Single Exponen'!$M$48</f>
        <v>44214.770570244917</v>
      </c>
      <c r="Z13" s="7">
        <f>'Double Exponen'!$M$48</f>
        <v>24719.08353174544</v>
      </c>
      <c r="AA13" s="7">
        <f>'triple exponen'!$M$48</f>
        <v>24138.598094173569</v>
      </c>
      <c r="AB13" s="7">
        <f>'Konstanta a triple'!$M$48</f>
        <v>82625.659209671983</v>
      </c>
      <c r="AC13" s="7">
        <f>'Konstanta b triple'!$M$48</f>
        <v>380625.9737688395</v>
      </c>
      <c r="AD13" s="7">
        <f>'Konstanta c triple'!$M$48</f>
        <v>302643.22561484185</v>
      </c>
      <c r="AE13" s="7">
        <f>'Peramalan triple'!$M$48</f>
        <v>839016.48241883388</v>
      </c>
      <c r="AF13" s="7">
        <f t="shared" si="4"/>
        <v>-1855.8670018356206</v>
      </c>
      <c r="AG13" s="7">
        <f t="shared" si="5"/>
        <v>1855.8670018356206</v>
      </c>
    </row>
    <row r="14" spans="1:33" x14ac:dyDescent="0.3">
      <c r="J14" s="7">
        <f>(SUM(J3:J13)/12)</f>
        <v>-22.985420574131037</v>
      </c>
      <c r="K14" s="7">
        <f>(SUM(K3:K13)/12)</f>
        <v>64.628167080800736</v>
      </c>
      <c r="U14" s="7">
        <f>(SUM(U3:U13)/12)</f>
        <v>32.978252739167011</v>
      </c>
      <c r="V14" s="7">
        <f>(SUM(V3:V13)/12)</f>
        <v>391.20283722791982</v>
      </c>
      <c r="AF14" s="7">
        <f>(SUM(AF3:AF13)/12)</f>
        <v>-1589.3408521891488</v>
      </c>
      <c r="AG14" s="7">
        <f>(SUM(AG3:AG13)/12)</f>
        <v>1605.3317185360095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Exponen'!$B$46</f>
        <v>23458.3</v>
      </c>
      <c r="O16" s="7">
        <f>'Double Exponen'!$B$46</f>
        <v>23458.3</v>
      </c>
      <c r="P16" s="7">
        <f>'triple exponen'!$B$46</f>
        <v>23458.3</v>
      </c>
      <c r="Q16" s="7">
        <f>'Konstanta a triple'!$B$46</f>
        <v>23458.3</v>
      </c>
      <c r="R16" s="7">
        <f>'Konstanta b triple'!$B$46</f>
        <v>0</v>
      </c>
      <c r="S16" s="7">
        <f>'Konstanta c triple'!$B$46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Exponen'!$C$46</f>
        <v>38464.94</v>
      </c>
      <c r="O17" s="7">
        <f>'Double Exponen'!$C$46</f>
        <v>24958.964000000004</v>
      </c>
      <c r="P17" s="7">
        <f>'triple exponen'!$C$46</f>
        <v>24658.831200000004</v>
      </c>
      <c r="Q17" s="7">
        <f>'Konstanta a triple'!$C$46</f>
        <v>65176.7592</v>
      </c>
      <c r="R17" s="7">
        <f>'Konstanta b triple'!$C$46</f>
        <v>265317.39519999991</v>
      </c>
      <c r="S17" s="7">
        <f>'Konstanta c triple'!$C$46</f>
        <v>211293.49120000013</v>
      </c>
      <c r="T17" s="7">
        <f>'Peramalan triple'!$C$46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Exponen'!$D$46</f>
        <v>30694.508000000002</v>
      </c>
      <c r="O18" s="7">
        <f>'Double Exponen'!$D$46</f>
        <v>25532.518400000001</v>
      </c>
      <c r="P18" s="7">
        <f>'triple exponen'!$D$46</f>
        <v>25357.780960000004</v>
      </c>
      <c r="Q18" s="7">
        <f>'Konstanta a triple'!$D$46</f>
        <v>40843.749760000006</v>
      </c>
      <c r="R18" s="7">
        <f>'Konstanta b triple'!$D$46</f>
        <v>100443.99296000002</v>
      </c>
      <c r="S18" s="7">
        <f>'Konstanta c triple'!$D$46</f>
        <v>79796.034560000116</v>
      </c>
      <c r="T18" s="7">
        <f>'Peramalan triple'!$D$46</f>
        <v>436140.89999999997</v>
      </c>
      <c r="U18" s="7">
        <f t="shared" si="6"/>
        <v>-1416.9115780174525</v>
      </c>
      <c r="V18" s="7">
        <f t="shared" si="7"/>
        <v>1416.9115780174525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Exponen'!$E$46</f>
        <v>37640.421600000001</v>
      </c>
      <c r="O19" s="7">
        <f>'Double Exponen'!$E$46</f>
        <v>26743.308720000001</v>
      </c>
      <c r="P19" s="7">
        <f>'triple exponen'!$E$46</f>
        <v>26466.203168000004</v>
      </c>
      <c r="Q19" s="7">
        <f>'Konstanta a triple'!$E$46</f>
        <v>59157.541808000009</v>
      </c>
      <c r="R19" s="7">
        <f>'Konstanta b triple'!$E$46</f>
        <v>213508.568768</v>
      </c>
      <c r="S19" s="7">
        <f>'Konstanta c triple'!$E$46</f>
        <v>169920.11724800017</v>
      </c>
      <c r="T19" s="7">
        <f>'Peramalan triple'!$E$46</f>
        <v>181185.7600000001</v>
      </c>
      <c r="U19" s="7">
        <f t="shared" si="6"/>
        <v>-360.13210791098362</v>
      </c>
      <c r="V19" s="7">
        <f t="shared" si="7"/>
        <v>360.13210791098362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Exponen'!$F$46</f>
        <v>26617.364320000001</v>
      </c>
      <c r="O20" s="7">
        <f>'Double Exponen'!$F$46</f>
        <v>26730.71428</v>
      </c>
      <c r="P20" s="7">
        <f>'triple exponen'!$F$46</f>
        <v>26677.812057600004</v>
      </c>
      <c r="Q20" s="7">
        <f>'Konstanta a triple'!$F$46</f>
        <v>26337.762177600012</v>
      </c>
      <c r="R20" s="7">
        <f>'Konstanta b triple'!$F$46</f>
        <v>-3113.4347583998892</v>
      </c>
      <c r="S20" s="7">
        <f>'Konstanta c triple'!$F$46</f>
        <v>-2660.0349183999369</v>
      </c>
      <c r="T20" s="7">
        <f>'Peramalan triple'!$F$46</f>
        <v>357626.16920000012</v>
      </c>
      <c r="U20" s="7">
        <f t="shared" si="6"/>
        <v>-1398.7518406142092</v>
      </c>
      <c r="V20" s="7">
        <f t="shared" si="7"/>
        <v>1398.7518406142092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Exponen'!$G$46</f>
        <v>51096.992864</v>
      </c>
      <c r="O21" s="7">
        <f>'Double Exponen'!$G$46</f>
        <v>29167.342138400003</v>
      </c>
      <c r="P21" s="7">
        <f>'triple exponen'!$G$46</f>
        <v>28669.436122240004</v>
      </c>
      <c r="Q21" s="7">
        <f>'Konstanta a triple'!$G$46</f>
        <v>94458.388299040002</v>
      </c>
      <c r="R21" s="7">
        <f>'Konstanta b triple'!$G$46</f>
        <v>430626.51825343986</v>
      </c>
      <c r="S21" s="7">
        <f>'Konstanta c triple'!$G$46</f>
        <v>342907.9153510402</v>
      </c>
      <c r="T21" s="7">
        <f>'Peramalan triple'!$G$46</f>
        <v>21894.309960000155</v>
      </c>
      <c r="U21" s="7">
        <f t="shared" si="6"/>
        <v>61.734540039743237</v>
      </c>
      <c r="V21" s="7">
        <f t="shared" si="7"/>
        <v>61.734540039743237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Exponen'!$H$46</f>
        <v>77208.758572799983</v>
      </c>
      <c r="O22" s="7">
        <f>'Double Exponen'!$H$46</f>
        <v>33971.483781840005</v>
      </c>
      <c r="P22" s="7">
        <f>'triple exponen'!$H$46</f>
        <v>32911.074249920006</v>
      </c>
      <c r="Q22" s="7">
        <f>'Konstanta a triple'!$H$46</f>
        <v>162622.89862279996</v>
      </c>
      <c r="R22" s="7">
        <f>'Konstanta b triple'!$H$46</f>
        <v>847778.94330847939</v>
      </c>
      <c r="S22" s="7">
        <f>'Konstanta c triple'!$H$46</f>
        <v>674829.84414464014</v>
      </c>
      <c r="T22" s="7">
        <f>'Peramalan triple'!$H$46</f>
        <v>696538.86422799993</v>
      </c>
      <c r="U22" s="7">
        <f t="shared" si="6"/>
        <v>-731.82029412193219</v>
      </c>
      <c r="V22" s="7">
        <f t="shared" si="7"/>
        <v>731.82029412193219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Exponen'!$I$46</f>
        <v>58684.311714559997</v>
      </c>
      <c r="O23" s="7">
        <f>'Double Exponen'!$I$46</f>
        <v>36442.766575112008</v>
      </c>
      <c r="P23" s="7">
        <f>'triple exponen'!$I$46</f>
        <v>35736.428110073612</v>
      </c>
      <c r="Q23" s="7">
        <f>'Konstanta a triple'!$I$46</f>
        <v>102461.06352841758</v>
      </c>
      <c r="R23" s="7">
        <f>'Konstanta b triple'!$I$46</f>
        <v>433529.48734834534</v>
      </c>
      <c r="S23" s="7">
        <f>'Konstanta c triple'!$I$46</f>
        <v>344563.30679055373</v>
      </c>
      <c r="T23" s="7">
        <f>'Peramalan triple'!$I$46</f>
        <v>1347816.7640035993</v>
      </c>
      <c r="U23" s="7">
        <f t="shared" si="6"/>
        <v>-2393.5004107131485</v>
      </c>
      <c r="V23" s="7">
        <f t="shared" si="7"/>
        <v>2393.5004107131485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Exponen'!$J$46</f>
        <v>20748.462342912004</v>
      </c>
      <c r="O24" s="7">
        <f>'Double Exponen'!$J$46</f>
        <v>34873.336151892006</v>
      </c>
      <c r="P24" s="7">
        <f>'triple exponen'!$J$46</f>
        <v>35045.954543528329</v>
      </c>
      <c r="Q24" s="7">
        <f>'Konstanta a triple'!$J$46</f>
        <v>-7328.6668834116863</v>
      </c>
      <c r="R24" s="7">
        <f>'Konstanta b triple'!$J$46</f>
        <v>-279735.58191341889</v>
      </c>
      <c r="S24" s="7">
        <f>'Konstanta c triple'!$J$46</f>
        <v>-223236.08667749903</v>
      </c>
      <c r="T24" s="7">
        <f>'Peramalan triple'!$J$46</f>
        <v>708272.20427203982</v>
      </c>
      <c r="U24" s="7">
        <f t="shared" si="6"/>
        <v>-6187.6488461275667</v>
      </c>
      <c r="V24" s="7">
        <f t="shared" si="7"/>
        <v>6187.6488461275667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Exponen'!$K$46</f>
        <v>23521.692468582401</v>
      </c>
      <c r="O25" s="7">
        <f>'Double Exponen'!$K$46</f>
        <v>33738.171783561047</v>
      </c>
      <c r="P25" s="7">
        <f>'triple exponen'!$K$46</f>
        <v>33999.728335554508</v>
      </c>
      <c r="Q25" s="7">
        <f>'Konstanta a triple'!$K$46</f>
        <v>3350.2903906185675</v>
      </c>
      <c r="R25" s="7">
        <f>'Konstanta b triple'!$K$46</f>
        <v>-200144.68146767755</v>
      </c>
      <c r="S25" s="7">
        <f>'Konstanta c triple'!$K$46</f>
        <v>-159278.76420776302</v>
      </c>
      <c r="T25" s="7">
        <f>'Peramalan triple'!$K$46</f>
        <v>-398682.29213558009</v>
      </c>
      <c r="U25" s="7">
        <f t="shared" si="6"/>
        <v>1746.4269755753876</v>
      </c>
      <c r="V25" s="7">
        <f t="shared" si="7"/>
        <v>1746.4269755753876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Exponen'!$L$46</f>
        <v>26192.818493716477</v>
      </c>
      <c r="O26" s="7">
        <f>'Double Exponen'!$L$46</f>
        <v>32983.63645457659</v>
      </c>
      <c r="P26" s="7">
        <f>'triple exponen'!$L$46</f>
        <v>33186.854830772172</v>
      </c>
      <c r="Q26" s="7">
        <f>'Konstanta a triple'!$L$46</f>
        <v>12814.40094819184</v>
      </c>
      <c r="R26" s="7">
        <f>'Konstanta b triple'!$L$46</f>
        <v>-132564.86519807292</v>
      </c>
      <c r="S26" s="7">
        <f>'Konstanta c triple'!$L$46</f>
        <v>-105401.59335463257</v>
      </c>
      <c r="T26" s="7">
        <f>'Peramalan triple'!$L$46</f>
        <v>-276433.77318094048</v>
      </c>
      <c r="U26" s="7">
        <f t="shared" si="6"/>
        <v>1129.1422126867624</v>
      </c>
      <c r="V26" s="7">
        <f t="shared" si="7"/>
        <v>1129.1422126867624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Exponen'!$M$46</f>
        <v>32320.723698743292</v>
      </c>
      <c r="O27" s="7">
        <f>'Double Exponen'!$M$46</f>
        <v>32917.345178993259</v>
      </c>
      <c r="P27" s="7">
        <f>'triple exponen'!$M$46</f>
        <v>32971.247109349046</v>
      </c>
      <c r="Q27" s="7">
        <f>'Konstanta a triple'!$M$46</f>
        <v>31181.382668599137</v>
      </c>
      <c r="R27" s="7">
        <f>'Konstanta b triple'!$M$46</f>
        <v>-11069.998719306821</v>
      </c>
      <c r="S27" s="7">
        <f>'Konstanta c triple'!$M$46</f>
        <v>-8683.5127983068869</v>
      </c>
      <c r="T27" s="7">
        <f>'Peramalan triple'!$M$46</f>
        <v>-172451.26092719735</v>
      </c>
      <c r="U27" s="7">
        <f t="shared" si="6"/>
        <v>609.41656330867954</v>
      </c>
      <c r="V27" s="7">
        <f t="shared" si="7"/>
        <v>609.41656330867954</v>
      </c>
    </row>
    <row r="28" spans="12:22" x14ac:dyDescent="0.3">
      <c r="U28" s="7">
        <f>(SUM(U17:U27)/12)</f>
        <v>-741.46760971632602</v>
      </c>
      <c r="V28" s="7">
        <f>(SUM(V17:V27)/12)</f>
        <v>1339.993236534556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Exponen'!$B$47</f>
        <v>4698.6499999999996</v>
      </c>
      <c r="O30" s="7">
        <f>'Double Exponen'!$B$47</f>
        <v>4698.6499999999996</v>
      </c>
      <c r="P30" s="7">
        <f>'triple exponen'!$B$47</f>
        <v>4698.6499999999996</v>
      </c>
      <c r="Q30" s="7">
        <f>'Konstanta a triple'!$B$47</f>
        <v>4698.6499999999996</v>
      </c>
      <c r="R30" s="7">
        <f>'Konstanta b triple'!$B$47</f>
        <v>9.0949470177292808E-12</v>
      </c>
      <c r="S30" s="7">
        <f>'Konstanta c triple'!$B$47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Exponen'!$C$47</f>
        <v>7855.73</v>
      </c>
      <c r="O31" s="7">
        <f>'Double Exponen'!$C$47</f>
        <v>5014.3580000000002</v>
      </c>
      <c r="P31" s="7">
        <f>'triple exponen'!$C$47</f>
        <v>4951.2164000000002</v>
      </c>
      <c r="Q31" s="7">
        <f>'Konstanta a triple'!$C$47</f>
        <v>13475.332399999999</v>
      </c>
      <c r="R31" s="7">
        <f>'Konstanta b triple'!$C$47</f>
        <v>55817.174399999967</v>
      </c>
      <c r="S31" s="7">
        <f>'Konstanta c triple'!$C$47</f>
        <v>44451.686400000021</v>
      </c>
      <c r="T31" s="7">
        <f>'Peramalan triple'!$C$47</f>
        <v>4698.6500000000087</v>
      </c>
      <c r="U31" s="7">
        <f t="shared" ref="U31:U41" si="8">((M31-T31)/M31)*100</f>
        <v>45.64893001735097</v>
      </c>
      <c r="V31" s="7">
        <f t="shared" ref="V31:V41" si="9">ABS((M31-T31)/M31)*100</f>
        <v>45.64893001735097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Exponen'!$D$47</f>
        <v>7962.7060000000001</v>
      </c>
      <c r="O32" s="7">
        <f>'Double Exponen'!$D$47</f>
        <v>5309.1927999999998</v>
      </c>
      <c r="P32" s="7">
        <f>'triple exponen'!$D$47</f>
        <v>5237.5975200000003</v>
      </c>
      <c r="Q32" s="7">
        <f>'Konstanta a triple'!$D$47</f>
        <v>13198.137120000003</v>
      </c>
      <c r="R32" s="7">
        <f>'Konstanta b triple'!$D$47</f>
        <v>51924.739519999996</v>
      </c>
      <c r="S32" s="7">
        <f>'Konstanta c triple'!$D$47</f>
        <v>41310.686720000042</v>
      </c>
      <c r="T32" s="7">
        <f>'Peramalan triple'!$D$47</f>
        <v>91518.349999999977</v>
      </c>
      <c r="U32" s="7">
        <f t="shared" si="8"/>
        <v>-1045.4899899242123</v>
      </c>
      <c r="V32" s="7">
        <f t="shared" si="9"/>
        <v>1045.4899899242123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Exponen'!$E$47</f>
        <v>6827.3892000000005</v>
      </c>
      <c r="O33" s="7">
        <f>'Double Exponen'!$E$47</f>
        <v>5461.0124400000004</v>
      </c>
      <c r="P33" s="7">
        <f>'triple exponen'!$E$47</f>
        <v>5416.3294560000004</v>
      </c>
      <c r="Q33" s="7">
        <f>'Konstanta a triple'!$E$47</f>
        <v>9515.4597360000007</v>
      </c>
      <c r="R33" s="7">
        <f>'Konstanta b triple'!$E$47</f>
        <v>26612.607456000002</v>
      </c>
      <c r="S33" s="7">
        <f>'Konstanta c triple'!$E$47</f>
        <v>21147.100416000016</v>
      </c>
      <c r="T33" s="7">
        <f>'Peramalan triple'!$E$47</f>
        <v>85778.22000000003</v>
      </c>
      <c r="U33" s="7">
        <f t="shared" si="8"/>
        <v>-1210.8800102696396</v>
      </c>
      <c r="V33" s="7">
        <f t="shared" si="9"/>
        <v>1210.8800102696396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Exponen'!$F$47</f>
        <v>37923.557839999994</v>
      </c>
      <c r="O34" s="7">
        <f>'Double Exponen'!$F$47</f>
        <v>8707.2669800000003</v>
      </c>
      <c r="P34" s="7">
        <f>'triple exponen'!$F$47</f>
        <v>8049.0794752000002</v>
      </c>
      <c r="Q34" s="7">
        <f>'Konstanta a triple'!$F$47</f>
        <v>95697.952055199974</v>
      </c>
      <c r="R34" s="7">
        <f>'Konstanta b triple'!$F$47</f>
        <v>573794.81712319981</v>
      </c>
      <c r="S34" s="7">
        <f>'Konstanta c triple'!$F$47</f>
        <v>456929.65368320019</v>
      </c>
      <c r="T34" s="7">
        <f>'Peramalan triple'!$F$47</f>
        <v>46701.61740000001</v>
      </c>
      <c r="U34" s="7">
        <f t="shared" si="8"/>
        <v>-2.197090000350153</v>
      </c>
      <c r="V34" s="7">
        <f t="shared" si="9"/>
        <v>2.197090000350153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Exponen'!$G$47</f>
        <v>13139.127568000002</v>
      </c>
      <c r="O35" s="7">
        <f>'Double Exponen'!$G$47</f>
        <v>9150.4530388000003</v>
      </c>
      <c r="P35" s="7">
        <f>'triple exponen'!$G$47</f>
        <v>8930.1783260800021</v>
      </c>
      <c r="Q35" s="7">
        <f>'Konstanta a triple'!$G$47</f>
        <v>20896.201913680001</v>
      </c>
      <c r="R35" s="7">
        <f>'Konstanta b triple'!$G$47</f>
        <v>76249.095180480042</v>
      </c>
      <c r="S35" s="7">
        <f>'Konstanta c triple'!$G$47</f>
        <v>60294.397063680095</v>
      </c>
      <c r="T35" s="7">
        <f>'Peramalan triple'!$G$47</f>
        <v>897957.59601999994</v>
      </c>
      <c r="U35" s="7">
        <f t="shared" si="8"/>
        <v>-12833.242249338182</v>
      </c>
      <c r="V35" s="7">
        <f t="shared" si="9"/>
        <v>12833.242249338182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Exponen'!$H$47</f>
        <v>9529.9935136000004</v>
      </c>
      <c r="O36" s="7">
        <f>'Double Exponen'!$H$47</f>
        <v>9188.4070862799999</v>
      </c>
      <c r="P36" s="7">
        <f>'triple exponen'!$H$47</f>
        <v>9136.76133424</v>
      </c>
      <c r="Q36" s="7">
        <f>'Konstanta a triple'!$H$47</f>
        <v>10161.520616200003</v>
      </c>
      <c r="R36" s="7">
        <f>'Konstanta b triple'!$H$47</f>
        <v>6005.3965137599871</v>
      </c>
      <c r="S36" s="7">
        <f>'Konstanta c triple'!$H$47</f>
        <v>4639.0508044800108</v>
      </c>
      <c r="T36" s="7">
        <f>'Peramalan triple'!$H$47</f>
        <v>127292.49562600011</v>
      </c>
      <c r="U36" s="7">
        <f t="shared" si="8"/>
        <v>-1375.3914494808023</v>
      </c>
      <c r="V36" s="7">
        <f t="shared" si="9"/>
        <v>1375.3914494808023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Exponen'!$I$47</f>
        <v>15661.198702719999</v>
      </c>
      <c r="O37" s="7">
        <f>'Double Exponen'!$I$47</f>
        <v>9835.6862479240008</v>
      </c>
      <c r="P37" s="7">
        <f>'triple exponen'!$I$47</f>
        <v>9695.9012651872017</v>
      </c>
      <c r="Q37" s="7">
        <f>'Konstanta a triple'!$I$47</f>
        <v>27172.438629575197</v>
      </c>
      <c r="R37" s="7">
        <f>'Konstanta b triple'!$I$47</f>
        <v>114273.68937213115</v>
      </c>
      <c r="S37" s="7">
        <f>'Konstanta c triple'!$I$47</f>
        <v>90971.63955294725</v>
      </c>
      <c r="T37" s="7">
        <f>'Peramalan triple'!$I$47</f>
        <v>18486.442532199995</v>
      </c>
      <c r="U37" s="7">
        <f t="shared" si="8"/>
        <v>-7.5168229161335072</v>
      </c>
      <c r="V37" s="7">
        <f t="shared" si="9"/>
        <v>7.5168229161335072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Exponen'!$J$47</f>
        <v>16925.839740544001</v>
      </c>
      <c r="O38" s="7">
        <f>'Double Exponen'!$J$47</f>
        <v>10544.701597186002</v>
      </c>
      <c r="P38" s="7">
        <f>'triple exponen'!$J$47</f>
        <v>10374.941530786244</v>
      </c>
      <c r="Q38" s="7">
        <f>'Konstanta a triple'!$J$47</f>
        <v>29518.355960860237</v>
      </c>
      <c r="R38" s="7">
        <f>'Konstanta b triple'!$J$47</f>
        <v>124906.60180476382</v>
      </c>
      <c r="S38" s="7">
        <f>'Konstanta c triple'!$J$47</f>
        <v>99382.049231331926</v>
      </c>
      <c r="T38" s="7">
        <f>'Peramalan triple'!$J$47</f>
        <v>186931.94777817998</v>
      </c>
      <c r="U38" s="7">
        <f t="shared" si="8"/>
        <v>-984.16626712782738</v>
      </c>
      <c r="V38" s="7">
        <f t="shared" si="9"/>
        <v>984.16626712782738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Exponen'!$K$47</f>
        <v>31518.927948108794</v>
      </c>
      <c r="O39" s="7">
        <f>'Double Exponen'!$K$47</f>
        <v>12642.124232278282</v>
      </c>
      <c r="P39" s="7">
        <f>'triple exponen'!$K$47</f>
        <v>12188.687691979876</v>
      </c>
      <c r="Q39" s="7">
        <f>'Konstanta a triple'!$K$47</f>
        <v>68819.098839471422</v>
      </c>
      <c r="R39" s="7">
        <f>'Konstanta b triple'!$K$47</f>
        <v>370281.08967183571</v>
      </c>
      <c r="S39" s="7">
        <f>'Konstanta c triple'!$K$47</f>
        <v>294773.87480851385</v>
      </c>
      <c r="T39" s="7">
        <f>'Peramalan triple'!$K$47</f>
        <v>204115.98238129</v>
      </c>
      <c r="U39" s="7">
        <f t="shared" si="8"/>
        <v>-480.41579193478583</v>
      </c>
      <c r="V39" s="7">
        <f t="shared" si="9"/>
        <v>480.41579193478583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Exponen'!$L$47</f>
        <v>11538.50558962176</v>
      </c>
      <c r="O40" s="7">
        <f>'Double Exponen'!$L$47</f>
        <v>12531.762368012631</v>
      </c>
      <c r="P40" s="7">
        <f>'triple exponen'!$L$47</f>
        <v>12463.147432806081</v>
      </c>
      <c r="Q40" s="7">
        <f>'Konstanta a triple'!$L$47</f>
        <v>9483.3770976334654</v>
      </c>
      <c r="R40" s="7">
        <f>'Konstanta b triple'!$L$47</f>
        <v>-20962.974531122196</v>
      </c>
      <c r="S40" s="7">
        <f>'Konstanta c triple'!$L$47</f>
        <v>-16989.947417558735</v>
      </c>
      <c r="T40" s="7">
        <f>'Peramalan triple'!$L$47</f>
        <v>586487.12591556401</v>
      </c>
      <c r="U40" s="7">
        <f t="shared" si="8"/>
        <v>-8863.0333758529814</v>
      </c>
      <c r="V40" s="7">
        <f t="shared" si="9"/>
        <v>8863.0333758529814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Exponen'!$M$47</f>
        <v>9028.9331179243527</v>
      </c>
      <c r="O41" s="7">
        <f>'Double Exponen'!$M$47</f>
        <v>12181.479443003802</v>
      </c>
      <c r="P41" s="7">
        <f>'triple exponen'!$M$47</f>
        <v>12237.813040964258</v>
      </c>
      <c r="Q41" s="7">
        <f>'Konstanta a triple'!$M$47</f>
        <v>2780.1740657259106</v>
      </c>
      <c r="R41" s="7">
        <f>'Konstanta b triple'!$M$47</f>
        <v>-62149.588934221669</v>
      </c>
      <c r="S41" s="7">
        <f>'Konstanta c triple'!$M$47</f>
        <v>-49539.403633903923</v>
      </c>
      <c r="T41" s="7">
        <f>'Peramalan triple'!$M$47</f>
        <v>-19974.571142268098</v>
      </c>
      <c r="U41" s="7">
        <f t="shared" si="8"/>
        <v>337.74892629527557</v>
      </c>
      <c r="V41" s="7">
        <f t="shared" si="9"/>
        <v>337.74892629527557</v>
      </c>
    </row>
    <row r="42" spans="12:22" x14ac:dyDescent="0.3">
      <c r="U42" s="7">
        <f>(SUM(U31:U41)/12)</f>
        <v>-2201.5779325443568</v>
      </c>
      <c r="V42" s="7">
        <f>(SUM(V31:V41)/12)</f>
        <v>2265.4775752631285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75B9F-8EEC-4D2A-92E8-22E52BFE3124}">
  <dimension ref="A1:AG42"/>
  <sheetViews>
    <sheetView workbookViewId="0">
      <selection activeCell="X1" sqref="X1:AG1"/>
    </sheetView>
  </sheetViews>
  <sheetFormatPr defaultColWidth="8.88671875" defaultRowHeight="14.4" x14ac:dyDescent="0.3"/>
  <cols>
    <col min="1" max="1" width="10.33203125" style="6" bestFit="1" customWidth="1"/>
    <col min="2" max="3" width="9.44140625" style="6" bestFit="1" customWidth="1"/>
    <col min="4" max="5" width="8.44140625" style="6" bestFit="1" customWidth="1"/>
    <col min="6" max="6" width="9.44140625" style="6" bestFit="1" customWidth="1"/>
    <col min="7" max="9" width="11.44140625" style="6" bestFit="1" customWidth="1"/>
    <col min="10" max="11" width="9.44140625" style="6" bestFit="1" customWidth="1"/>
    <col min="12" max="12" width="13.6640625" style="6" bestFit="1" customWidth="1"/>
    <col min="13" max="16" width="9.44140625" style="6" bestFit="1" customWidth="1"/>
    <col min="17" max="17" width="10.109375" style="6" bestFit="1" customWidth="1"/>
    <col min="18" max="20" width="12.109375" style="6" bestFit="1" customWidth="1"/>
    <col min="21" max="21" width="9.109375" style="6" bestFit="1" customWidth="1"/>
    <col min="22" max="22" width="8.44140625" style="6" bestFit="1" customWidth="1"/>
    <col min="23" max="23" width="14.109375" style="6" bestFit="1" customWidth="1"/>
    <col min="24" max="27" width="8.44140625" style="6" bestFit="1" customWidth="1"/>
    <col min="28" max="28" width="9.44140625" style="6" bestFit="1" customWidth="1"/>
    <col min="29" max="31" width="11.109375" style="6" bestFit="1" customWidth="1"/>
    <col min="32" max="32" width="9.109375" style="6" bestFit="1" customWidth="1"/>
    <col min="33" max="33" width="8.44140625" style="6" bestFit="1" customWidth="1"/>
    <col min="34" max="16384" width="8.88671875" style="6"/>
  </cols>
  <sheetData>
    <row r="1" spans="1:33" x14ac:dyDescent="0.3">
      <c r="A1" s="7" t="str">
        <f>'Rekap 0,1'!A1</f>
        <v>Oil A 20 LT</v>
      </c>
      <c r="B1" s="4" t="s">
        <v>86</v>
      </c>
      <c r="C1" s="3"/>
      <c r="D1" s="3"/>
      <c r="E1" s="11" t="s">
        <v>87</v>
      </c>
      <c r="F1" s="3"/>
      <c r="G1" s="3"/>
      <c r="H1" s="1" t="s">
        <v>78</v>
      </c>
      <c r="I1" s="1"/>
      <c r="J1" s="1" t="s">
        <v>28</v>
      </c>
      <c r="K1" s="1" t="s">
        <v>29</v>
      </c>
      <c r="L1" s="7" t="str">
        <f>'Rekap 0,1'!J1</f>
        <v>Oil A 200 LT</v>
      </c>
      <c r="M1" s="4" t="s">
        <v>86</v>
      </c>
      <c r="N1" s="3"/>
      <c r="O1" s="3"/>
      <c r="P1" s="11" t="s">
        <v>87</v>
      </c>
      <c r="Q1" s="3"/>
      <c r="R1" s="3"/>
      <c r="S1" s="1" t="s">
        <v>78</v>
      </c>
      <c r="T1" s="1"/>
      <c r="U1" s="1" t="s">
        <v>28</v>
      </c>
      <c r="V1" s="1" t="s">
        <v>29</v>
      </c>
      <c r="W1" s="7" t="str">
        <f>'Rekap 0,1'!S1</f>
        <v>Oil B 200 LT</v>
      </c>
      <c r="X1" s="4" t="s">
        <v>86</v>
      </c>
      <c r="Y1" s="3"/>
      <c r="Z1" s="3"/>
      <c r="AA1" s="11" t="s">
        <v>87</v>
      </c>
      <c r="AB1" s="3"/>
      <c r="AC1" s="3"/>
      <c r="AD1" s="1" t="s">
        <v>78</v>
      </c>
      <c r="AE1" s="1"/>
      <c r="AF1" s="1" t="s">
        <v>28</v>
      </c>
      <c r="AG1" s="1" t="s">
        <v>29</v>
      </c>
    </row>
    <row r="2" spans="1:33" x14ac:dyDescent="0.3">
      <c r="A2" s="7" t="str">
        <f>'Rekap 0,1'!A2</f>
        <v>Januari</v>
      </c>
      <c r="B2" s="7">
        <f>kg!$B$3</f>
        <v>12588.09</v>
      </c>
      <c r="C2" s="7">
        <f>'Single Exponen'!$B$50</f>
        <v>12588.09</v>
      </c>
      <c r="D2" s="7">
        <f>'Double Exponen'!$B$50</f>
        <v>12588.09</v>
      </c>
      <c r="E2" s="7">
        <f>'triple exponen'!$B$50</f>
        <v>12588.09</v>
      </c>
      <c r="F2" s="7">
        <f>'Konstanta a triple'!$B$50</f>
        <v>12588.09</v>
      </c>
      <c r="G2" s="7">
        <f>'Konstanta b triple'!$B$50</f>
        <v>2.4556356947869057E-10</v>
      </c>
      <c r="H2" s="7">
        <f>'Konstanta c triple'!$B$50</f>
        <v>0</v>
      </c>
      <c r="I2" s="7"/>
      <c r="J2" s="7"/>
      <c r="K2" s="7"/>
      <c r="L2" s="7" t="str">
        <f>'Rekap 0,1'!J2</f>
        <v>Januari</v>
      </c>
      <c r="M2" s="7">
        <f>kg!$B$4</f>
        <v>459915.78</v>
      </c>
      <c r="N2" s="7">
        <f>'Single Exponen'!$B$51</f>
        <v>459915.78</v>
      </c>
      <c r="O2" s="7">
        <f>'Double Exponen'!$B$51</f>
        <v>459915.78</v>
      </c>
      <c r="P2" s="7">
        <f>'triple exponen'!$B$51</f>
        <v>459915.78</v>
      </c>
      <c r="Q2" s="7">
        <f>'Konstanta a triple'!$B$51</f>
        <v>459915.78</v>
      </c>
      <c r="R2" s="7">
        <f>'Konstanta b triple'!$B$51</f>
        <v>5.2386894822120658E-9</v>
      </c>
      <c r="S2" s="7">
        <f>'Konstanta c triple'!$B$51</f>
        <v>0</v>
      </c>
      <c r="T2" s="7"/>
      <c r="U2" s="7"/>
      <c r="V2" s="7"/>
      <c r="W2" s="7" t="str">
        <f>'Rekap 0,1'!S2</f>
        <v>Januari</v>
      </c>
      <c r="X2" s="7">
        <f>kg!$B$7</f>
        <v>1033.08</v>
      </c>
      <c r="Y2" s="7">
        <f>'Single Exponen'!$B$54</f>
        <v>1033.08</v>
      </c>
      <c r="Z2" s="7">
        <f>'Double Exponen'!$B$54</f>
        <v>1033.08</v>
      </c>
      <c r="AA2" s="7">
        <f>'triple exponen'!$B$54</f>
        <v>1033.08</v>
      </c>
      <c r="AB2" s="7">
        <f>'Konstanta a triple'!$B$54</f>
        <v>1033.08</v>
      </c>
      <c r="AC2" s="7">
        <f>'Konstanta b triple'!$B$54</f>
        <v>-1.0231815394945441E-11</v>
      </c>
      <c r="AD2" s="7">
        <f>'Konstanta c triple'!$B$54</f>
        <v>0</v>
      </c>
      <c r="AE2" s="7"/>
      <c r="AF2" s="7"/>
      <c r="AG2" s="7"/>
    </row>
    <row r="3" spans="1:33" x14ac:dyDescent="0.3">
      <c r="A3" s="7" t="str">
        <f>'Rekap 0,1'!A3</f>
        <v>Februari</v>
      </c>
      <c r="B3" s="7">
        <f>kg!$C$3</f>
        <v>4789.75</v>
      </c>
      <c r="C3" s="7">
        <f>'Single Exponen'!$C$50</f>
        <v>5569.5840000000007</v>
      </c>
      <c r="D3" s="7">
        <f>'Double Exponen'!$C$50</f>
        <v>11886.2394</v>
      </c>
      <c r="E3" s="7">
        <f>'triple exponen'!$C$50</f>
        <v>11956.42446</v>
      </c>
      <c r="F3" s="7">
        <f>'Konstanta a triple'!$C$50</f>
        <v>-6993.5417400000024</v>
      </c>
      <c r="G3" s="7">
        <f>'Konstanta b triple'!$C$50</f>
        <v>-422268.41349000006</v>
      </c>
      <c r="H3" s="7">
        <f>'Konstanta c triple'!$C$50</f>
        <v>-505964.0975400004</v>
      </c>
      <c r="I3" s="7">
        <f>'Peramalan triple'!$C$26</f>
        <v>12588.089999999993</v>
      </c>
      <c r="J3" s="7">
        <f>((B3-I3)/B3)*100</f>
        <v>-162.81309045357258</v>
      </c>
      <c r="K3" s="7">
        <f>ABS((B3-I3)/B3)*100</f>
        <v>162.81309045357258</v>
      </c>
      <c r="L3" s="7" t="str">
        <f>'Rekap 0,1'!J3</f>
        <v>Februari</v>
      </c>
      <c r="M3" s="7">
        <f>kg!$C$4</f>
        <v>397220.76</v>
      </c>
      <c r="N3" s="7">
        <f>'Single Exponen'!$C$51</f>
        <v>403490.26199999999</v>
      </c>
      <c r="O3" s="7">
        <f>'Double Exponen'!$C$51</f>
        <v>454273.22820000001</v>
      </c>
      <c r="P3" s="7">
        <f>'triple exponen'!$C$51</f>
        <v>454837.48337999999</v>
      </c>
      <c r="Q3" s="7">
        <f>'Konstanta a triple'!$C$51</f>
        <v>302488.5847799998</v>
      </c>
      <c r="R3" s="7">
        <f>'Konstanta b triple'!$C$51</f>
        <v>-3394841.2904700106</v>
      </c>
      <c r="S3" s="7">
        <f>'Konstanta c triple'!$C$51</f>
        <v>-4067715.5926200058</v>
      </c>
      <c r="T3" s="7">
        <f>'Peramalan triple'!$C$51</f>
        <v>459915.78000000527</v>
      </c>
      <c r="U3" s="7">
        <f t="shared" ref="U3:U13" si="0">((M3-T3)/M3)*100</f>
        <v>-15.783419778967559</v>
      </c>
      <c r="V3" s="7">
        <f t="shared" ref="V3:V13" si="1">ABS((M3-T3)/M3)*100</f>
        <v>15.783419778967559</v>
      </c>
      <c r="W3" s="7" t="str">
        <f>'Rekap 0,1'!S3</f>
        <v>Februari</v>
      </c>
      <c r="X3" s="7">
        <f>kg!$C$7</f>
        <v>25477.94</v>
      </c>
      <c r="Y3" s="7">
        <f>'Single Exponen'!$C$54</f>
        <v>23033.453999999998</v>
      </c>
      <c r="Z3" s="7">
        <f>'Double Exponen'!$C$54</f>
        <v>3233.1174000000001</v>
      </c>
      <c r="AA3" s="7">
        <f>'triple exponen'!$C$54</f>
        <v>3013.11366</v>
      </c>
      <c r="AB3" s="7">
        <f>'Konstanta a triple'!$C$54</f>
        <v>62414.123459999995</v>
      </c>
      <c r="AC3" s="7">
        <f>'Konstanta b triple'!$C$54</f>
        <v>1323652.5017099997</v>
      </c>
      <c r="AD3" s="7">
        <f>'Konstanta c triple'!$C$54</f>
        <v>1586006.9616600007</v>
      </c>
      <c r="AE3" s="7">
        <f>'Peramalan triple'!$C$54</f>
        <v>1033.0799999999897</v>
      </c>
      <c r="AF3" s="7">
        <f>((X3-AE3)/X3)*100</f>
        <v>95.945198081163582</v>
      </c>
      <c r="AG3" s="7">
        <f>ABS((X3-AE3)/X3)*100</f>
        <v>95.945198081163582</v>
      </c>
    </row>
    <row r="4" spans="1:33" x14ac:dyDescent="0.3">
      <c r="A4" s="7" t="str">
        <f>'Rekap 0,1'!A4</f>
        <v>Maret</v>
      </c>
      <c r="B4" s="7">
        <f>kg!$D$3</f>
        <v>21025.84</v>
      </c>
      <c r="C4" s="7">
        <f>'Single Exponen'!$D$50</f>
        <v>19480.214399999997</v>
      </c>
      <c r="D4" s="7">
        <f>'Double Exponen'!$D$50</f>
        <v>12645.636900000001</v>
      </c>
      <c r="E4" s="7">
        <f>'triple exponen'!$D$50</f>
        <v>12576.715656000002</v>
      </c>
      <c r="F4" s="7">
        <f>'Konstanta a triple'!$D$50</f>
        <v>33080.448155999984</v>
      </c>
      <c r="G4" s="7">
        <f>'Konstanta b triple'!$D$50</f>
        <v>457302.08847599966</v>
      </c>
      <c r="H4" s="7">
        <f>'Konstanta c triple'!$D$50</f>
        <v>548018.15673599998</v>
      </c>
      <c r="I4" s="7">
        <f>'Peramalan triple'!$D$26</f>
        <v>890.58000000000175</v>
      </c>
      <c r="J4" s="7">
        <f t="shared" ref="J4:J13" si="2">((B4-I4)/B4)*100</f>
        <v>95.764354717813887</v>
      </c>
      <c r="K4" s="7">
        <f t="shared" ref="K4:K13" si="3">ABS((B4-I4)/B4)*100</f>
        <v>95.764354717813887</v>
      </c>
      <c r="L4" s="7" t="str">
        <f>'Rekap 0,1'!J4</f>
        <v>Maret</v>
      </c>
      <c r="M4" s="7">
        <f>kg!$D$4</f>
        <v>389238.98</v>
      </c>
      <c r="N4" s="7">
        <f>'Single Exponen'!$D$51</f>
        <v>390664.10819999996</v>
      </c>
      <c r="O4" s="7">
        <f>'Double Exponen'!$D$51</f>
        <v>447912.3162</v>
      </c>
      <c r="P4" s="7">
        <f>'triple exponen'!$D$51</f>
        <v>448604.83291800006</v>
      </c>
      <c r="Q4" s="7">
        <f>'Konstanta a triple'!$D$51</f>
        <v>276860.20891799999</v>
      </c>
      <c r="R4" s="7">
        <f>'Konstanta b triple'!$D$51</f>
        <v>-3823741.8119969927</v>
      </c>
      <c r="S4" s="7">
        <f>'Konstanta c triple'!$D$51</f>
        <v>-4581010.9938420011</v>
      </c>
      <c r="T4" s="7">
        <f>'Peramalan triple'!$D$51</f>
        <v>-5126210.5020000134</v>
      </c>
      <c r="U4" s="7">
        <f t="shared" si="0"/>
        <v>1416.9828217102033</v>
      </c>
      <c r="V4" s="7">
        <f t="shared" si="1"/>
        <v>1416.9828217102033</v>
      </c>
      <c r="W4" s="7" t="str">
        <f>'Rekap 0,1'!S4</f>
        <v>Maret</v>
      </c>
      <c r="X4" s="7">
        <f>kg!$D$7</f>
        <v>19497.02</v>
      </c>
      <c r="Y4" s="7">
        <f>'Single Exponen'!$D$54</f>
        <v>19850.663400000001</v>
      </c>
      <c r="Z4" s="7">
        <f>'Double Exponen'!$D$54</f>
        <v>4894.8720000000003</v>
      </c>
      <c r="AA4" s="7">
        <f>'triple exponen'!$D$54</f>
        <v>4706.6961660000006</v>
      </c>
      <c r="AB4" s="7">
        <f>'Konstanta a triple'!$D$54</f>
        <v>49574.070366</v>
      </c>
      <c r="AC4" s="7">
        <f>'Konstanta b triple'!$D$54</f>
        <v>998507.63321099977</v>
      </c>
      <c r="AD4" s="7">
        <f>'Konstanta c triple'!$D$54</f>
        <v>1196176.8608460007</v>
      </c>
      <c r="AE4" s="7">
        <f>'Peramalan triple'!$D$54</f>
        <v>2179070.1060000001</v>
      </c>
      <c r="AF4" s="7">
        <f t="shared" ref="AF4:AF13" si="4">((X4-AE4)/X4)*100</f>
        <v>-11076.426479533797</v>
      </c>
      <c r="AG4" s="7">
        <f t="shared" ref="AG4:AG13" si="5">ABS((X4-AE4)/X4)*100</f>
        <v>11076.426479533797</v>
      </c>
    </row>
    <row r="5" spans="1:33" x14ac:dyDescent="0.3">
      <c r="A5" s="7" t="str">
        <f>'Rekap 0,1'!A5</f>
        <v>April</v>
      </c>
      <c r="B5" s="7">
        <f>kg!$E$3</f>
        <v>11100.97</v>
      </c>
      <c r="C5" s="7">
        <f>'Single Exponen'!$E$50</f>
        <v>11938.89444</v>
      </c>
      <c r="D5" s="7">
        <f>'Double Exponen'!$E$50</f>
        <v>12574.962654000003</v>
      </c>
      <c r="E5" s="7">
        <f>'triple exponen'!$E$50</f>
        <v>12575.137954200003</v>
      </c>
      <c r="F5" s="7">
        <f>'Konstanta a triple'!$E$50</f>
        <v>10666.933312199992</v>
      </c>
      <c r="G5" s="7">
        <f>'Konstanta b triple'!$E$50</f>
        <v>-42924.349383300287</v>
      </c>
      <c r="H5" s="7">
        <f>'Konstanta c triple'!$E$50</f>
        <v>-51507.326017800202</v>
      </c>
      <c r="I5" s="7">
        <f>'Peramalan triple'!$E$26</f>
        <v>25244.715000000011</v>
      </c>
      <c r="J5" s="7">
        <f t="shared" si="2"/>
        <v>-127.40999209978958</v>
      </c>
      <c r="K5" s="7">
        <f t="shared" si="3"/>
        <v>127.40999209978958</v>
      </c>
      <c r="L5" s="7" t="str">
        <f>'Rekap 0,1'!J5</f>
        <v>April</v>
      </c>
      <c r="M5" s="7">
        <f>kg!$E$4</f>
        <v>505904.1</v>
      </c>
      <c r="N5" s="7">
        <f>'Single Exponen'!$E$51</f>
        <v>494380.10081999999</v>
      </c>
      <c r="O5" s="7">
        <f>'Double Exponen'!$E$51</f>
        <v>452559.09466200002</v>
      </c>
      <c r="P5" s="7">
        <f>'triple exponen'!$E$51</f>
        <v>452163.66848760005</v>
      </c>
      <c r="Q5" s="7">
        <f>'Konstanta a triple'!$E$51</f>
        <v>577626.68696159986</v>
      </c>
      <c r="R5" s="7">
        <f>'Konstanta b triple'!$E$51</f>
        <v>2799785.4844625955</v>
      </c>
      <c r="S5" s="7">
        <f>'Konstanta c triple'!$E$51</f>
        <v>3355471.9786716024</v>
      </c>
      <c r="T5" s="7">
        <f>'Peramalan triple'!$E$51</f>
        <v>-5837387.0999999931</v>
      </c>
      <c r="U5" s="7">
        <f t="shared" si="0"/>
        <v>1253.8524989222251</v>
      </c>
      <c r="V5" s="7">
        <f t="shared" si="1"/>
        <v>1253.8524989222251</v>
      </c>
      <c r="W5" s="7" t="str">
        <f>'Rekap 0,1'!S5</f>
        <v>April</v>
      </c>
      <c r="X5" s="7">
        <f>kg!$E$7</f>
        <v>18855.900000000001</v>
      </c>
      <c r="Y5" s="7">
        <f>'Single Exponen'!$E$54</f>
        <v>18955.376340000003</v>
      </c>
      <c r="Z5" s="7">
        <f>'Double Exponen'!$E$54</f>
        <v>6300.9224340000001</v>
      </c>
      <c r="AA5" s="7">
        <f>'triple exponen'!$E$54</f>
        <v>6141.4998072000008</v>
      </c>
      <c r="AB5" s="7">
        <f>'Konstanta a triple'!$E$54</f>
        <v>44104.861525200009</v>
      </c>
      <c r="AC5" s="7">
        <f>'Konstanta b triple'!$E$54</f>
        <v>844849.41498720006</v>
      </c>
      <c r="AD5" s="7">
        <f>'Konstanta c triple'!$E$54</f>
        <v>1012097.5336152009</v>
      </c>
      <c r="AE5" s="7">
        <f>'Peramalan triple'!$E$54</f>
        <v>1646170.1340000001</v>
      </c>
      <c r="AF5" s="7">
        <f t="shared" si="4"/>
        <v>-8630.265508408509</v>
      </c>
      <c r="AG5" s="7">
        <f t="shared" si="5"/>
        <v>8630.265508408509</v>
      </c>
    </row>
    <row r="6" spans="1:33" x14ac:dyDescent="0.3">
      <c r="A6" s="7" t="str">
        <f>'Rekap 0,1'!A6</f>
        <v>Mei</v>
      </c>
      <c r="B6" s="7">
        <f>kg!$F$3</f>
        <v>9095.66</v>
      </c>
      <c r="C6" s="7">
        <f>'Single Exponen'!$F$50</f>
        <v>9379.9834439999995</v>
      </c>
      <c r="D6" s="7">
        <f>'Double Exponen'!$F$50</f>
        <v>12255.464733000004</v>
      </c>
      <c r="E6" s="7">
        <f>'triple exponen'!$F$50</f>
        <v>12287.432055120005</v>
      </c>
      <c r="F6" s="7">
        <f>'Konstanta a triple'!$F$50</f>
        <v>3660.988188119989</v>
      </c>
      <c r="G6" s="7">
        <f>'Konstanta b triple'!$F$50</f>
        <v>-192224.89866348007</v>
      </c>
      <c r="H6" s="7">
        <f>'Konstanta c triple'!$F$50</f>
        <v>-230324.63131728044</v>
      </c>
      <c r="I6" s="7">
        <f>'Peramalan triple'!$F$26</f>
        <v>12306.99499999999</v>
      </c>
      <c r="J6" s="7">
        <f t="shared" si="2"/>
        <v>-35.306233962131287</v>
      </c>
      <c r="K6" s="7">
        <f t="shared" si="3"/>
        <v>35.306233962131287</v>
      </c>
      <c r="L6" s="7" t="str">
        <f>'Rekap 0,1'!J6</f>
        <v>Mei</v>
      </c>
      <c r="M6" s="7">
        <f>kg!$F$4</f>
        <v>201079.58</v>
      </c>
      <c r="N6" s="7">
        <f>'Single Exponen'!$F$51</f>
        <v>230409.63208200003</v>
      </c>
      <c r="O6" s="7">
        <f>'Double Exponen'!$F$51</f>
        <v>430344.14840400004</v>
      </c>
      <c r="P6" s="7">
        <f>'triple exponen'!$F$51</f>
        <v>432526.10041236004</v>
      </c>
      <c r="Q6" s="7">
        <f>'Konstanta a triple'!$F$51</f>
        <v>-167277.44855363993</v>
      </c>
      <c r="R6" s="7">
        <f>'Konstanta b triple'!$F$51</f>
        <v>-13367935.65924594</v>
      </c>
      <c r="S6" s="7">
        <f>'Konstanta c triple'!$F$51</f>
        <v>-16017957.709404849</v>
      </c>
      <c r="T6" s="7">
        <f>'Peramalan triple'!$F$51</f>
        <v>5055148.1607599966</v>
      </c>
      <c r="U6" s="7">
        <f t="shared" si="0"/>
        <v>-2414.003739594044</v>
      </c>
      <c r="V6" s="7">
        <f t="shared" si="1"/>
        <v>2414.003739594044</v>
      </c>
      <c r="W6" s="7" t="str">
        <f>'Rekap 0,1'!S6</f>
        <v>Mei</v>
      </c>
      <c r="X6" s="7">
        <f>kg!$F$7</f>
        <v>26851.599999999999</v>
      </c>
      <c r="Y6" s="7">
        <f>'Single Exponen'!$F$54</f>
        <v>26061.977633999995</v>
      </c>
      <c r="Z6" s="7">
        <f>'Double Exponen'!$F$54</f>
        <v>8277.027954000001</v>
      </c>
      <c r="AA6" s="7">
        <f>'triple exponen'!$F$54</f>
        <v>8063.4751393200013</v>
      </c>
      <c r="AB6" s="7">
        <f>'Konstanta a triple'!$F$54</f>
        <v>61418.324179319985</v>
      </c>
      <c r="AC6" s="7">
        <f>'Konstanta b triple'!$F$54</f>
        <v>1187991.2637412194</v>
      </c>
      <c r="AD6" s="7">
        <f>'Konstanta c triple'!$F$54</f>
        <v>1423283.1460909203</v>
      </c>
      <c r="AE6" s="7">
        <f>'Peramalan triple'!$F$54</f>
        <v>1395003.0433200004</v>
      </c>
      <c r="AF6" s="7">
        <f t="shared" si="4"/>
        <v>-5095.232475234252</v>
      </c>
      <c r="AG6" s="7">
        <f t="shared" si="5"/>
        <v>5095.232475234252</v>
      </c>
    </row>
    <row r="7" spans="1:33" x14ac:dyDescent="0.3">
      <c r="A7" s="7" t="str">
        <f>'Rekap 0,1'!A7</f>
        <v>Juni</v>
      </c>
      <c r="B7" s="7">
        <f>kg!$G$3</f>
        <v>8185.36</v>
      </c>
      <c r="C7" s="7">
        <f>'Single Exponen'!$G$50</f>
        <v>8304.8223443999996</v>
      </c>
      <c r="D7" s="7">
        <f>'Double Exponen'!$G$50</f>
        <v>11860.400494140004</v>
      </c>
      <c r="E7" s="7">
        <f>'triple exponen'!$G$50</f>
        <v>11903.103650238005</v>
      </c>
      <c r="F7" s="7">
        <f>'Konstanta a triple'!$G$50</f>
        <v>1236.3692010179948</v>
      </c>
      <c r="G7" s="7">
        <f>'Konstanta b triple'!$G$50</f>
        <v>-237503.3904757172</v>
      </c>
      <c r="H7" s="7">
        <f>'Konstanta c triple'!$G$50</f>
        <v>-284542.87448500236</v>
      </c>
      <c r="I7" s="7">
        <f>'Peramalan triple'!$G$26</f>
        <v>6702.19625000003</v>
      </c>
      <c r="J7" s="7">
        <f t="shared" si="2"/>
        <v>18.119713121963724</v>
      </c>
      <c r="K7" s="7">
        <f t="shared" si="3"/>
        <v>18.119713121963724</v>
      </c>
      <c r="L7" s="7" t="str">
        <f>'Rekap 0,1'!J7</f>
        <v>Juni</v>
      </c>
      <c r="M7" s="7">
        <f>kg!$G$4</f>
        <v>378271.8</v>
      </c>
      <c r="N7" s="7">
        <f>'Single Exponen'!$G$51</f>
        <v>363485.58320819994</v>
      </c>
      <c r="O7" s="7">
        <f>'Double Exponen'!$G$51</f>
        <v>423658.29188442003</v>
      </c>
      <c r="P7" s="7">
        <f>'triple exponen'!$G$51</f>
        <v>424545.07273721404</v>
      </c>
      <c r="Q7" s="7">
        <f>'Konstanta a triple'!$G$51</f>
        <v>244026.94670855359</v>
      </c>
      <c r="R7" s="7">
        <f>'Konstanta b triple'!$G$51</f>
        <v>-4009781.1557564051</v>
      </c>
      <c r="S7" s="7">
        <f>'Konstanta c triple'!$G$51</f>
        <v>-4802160.1536975158</v>
      </c>
      <c r="T7" s="7">
        <f>'Peramalan triple'!$G$51</f>
        <v>-21544191.962502003</v>
      </c>
      <c r="U7" s="7">
        <f t="shared" si="0"/>
        <v>5795.4264004089137</v>
      </c>
      <c r="V7" s="7">
        <f t="shared" si="1"/>
        <v>5795.4264004089137</v>
      </c>
      <c r="W7" s="7" t="str">
        <f>'Rekap 0,1'!S7</f>
        <v>Juni</v>
      </c>
      <c r="X7" s="7">
        <f>kg!$G$7</f>
        <v>17468.29</v>
      </c>
      <c r="Y7" s="7">
        <f>'Single Exponen'!$G$54</f>
        <v>18327.658763400002</v>
      </c>
      <c r="Z7" s="7">
        <f>'Double Exponen'!$G$54</f>
        <v>9282.0910349400019</v>
      </c>
      <c r="AA7" s="7">
        <f>'triple exponen'!$G$54</f>
        <v>9160.2294453780032</v>
      </c>
      <c r="AB7" s="7">
        <f>'Konstanta a triple'!$G$54</f>
        <v>36296.932630758005</v>
      </c>
      <c r="AC7" s="7">
        <f>'Konstanta b triple'!$G$54</f>
        <v>603446.91868167301</v>
      </c>
      <c r="AD7" s="7">
        <f>'Konstanta c triple'!$G$54</f>
        <v>722820.19725073851</v>
      </c>
      <c r="AE7" s="7">
        <f>'Peramalan triple'!$G$54</f>
        <v>1961051.1609659996</v>
      </c>
      <c r="AF7" s="7">
        <f t="shared" si="4"/>
        <v>-11126.348778077301</v>
      </c>
      <c r="AG7" s="7">
        <f t="shared" si="5"/>
        <v>11126.348778077301</v>
      </c>
    </row>
    <row r="8" spans="1:33" x14ac:dyDescent="0.3">
      <c r="A8" s="7" t="str">
        <f>'Rekap 0,1'!A8</f>
        <v>Juli</v>
      </c>
      <c r="B8" s="7">
        <f>kg!$H$3</f>
        <v>18265.400000000001</v>
      </c>
      <c r="C8" s="7">
        <f>'Single Exponen'!$H$50</f>
        <v>17269.342234440002</v>
      </c>
      <c r="D8" s="7">
        <f>'Double Exponen'!$H$50</f>
        <v>12401.294668170003</v>
      </c>
      <c r="E8" s="7">
        <f>'triple exponen'!$H$50</f>
        <v>12351.475566376805</v>
      </c>
      <c r="F8" s="7">
        <f>'Konstanta a triple'!$H$50</f>
        <v>26955.618265186804</v>
      </c>
      <c r="G8" s="7">
        <f>'Konstanta b triple'!$H$50</f>
        <v>325678.79326832289</v>
      </c>
      <c r="H8" s="7">
        <f>'Konstanta c triple'!$H$50</f>
        <v>390276.50562262104</v>
      </c>
      <c r="I8" s="7">
        <f>'Peramalan triple'!$H$26</f>
        <v>5504.791250000012</v>
      </c>
      <c r="J8" s="7">
        <f t="shared" si="2"/>
        <v>69.862191630076467</v>
      </c>
      <c r="K8" s="7">
        <f t="shared" si="3"/>
        <v>69.862191630076467</v>
      </c>
      <c r="L8" s="7" t="str">
        <f>'Rekap 0,1'!J8</f>
        <v>Juli</v>
      </c>
      <c r="M8" s="7">
        <f>kg!$H$4</f>
        <v>463478.68</v>
      </c>
      <c r="N8" s="7">
        <f>'Single Exponen'!$H$51</f>
        <v>453479.37032082002</v>
      </c>
      <c r="O8" s="7">
        <f>'Double Exponen'!$H$51</f>
        <v>426640.39972806006</v>
      </c>
      <c r="P8" s="7">
        <f>'triple exponen'!$H$51</f>
        <v>426430.86702897545</v>
      </c>
      <c r="Q8" s="7">
        <f>'Konstanta a triple'!$H$51</f>
        <v>506947.77880725526</v>
      </c>
      <c r="R8" s="7">
        <f>'Konstanta b triple'!$H$51</f>
        <v>1799372.852114849</v>
      </c>
      <c r="S8" s="7">
        <f>'Konstanta c triple'!$H$51</f>
        <v>2156984.4693877045</v>
      </c>
      <c r="T8" s="7">
        <f>'Peramalan triple'!$H$51</f>
        <v>-6166834.2858966095</v>
      </c>
      <c r="U8" s="7">
        <f t="shared" si="0"/>
        <v>1430.5540366811715</v>
      </c>
      <c r="V8" s="7">
        <f t="shared" si="1"/>
        <v>1430.5540366811715</v>
      </c>
      <c r="W8" s="7" t="str">
        <f>'Rekap 0,1'!S8</f>
        <v>Juli</v>
      </c>
      <c r="X8" s="7">
        <f>kg!$H$7</f>
        <v>53358.239999999998</v>
      </c>
      <c r="Y8" s="7">
        <f>'Single Exponen'!$H$54</f>
        <v>49855.181876339993</v>
      </c>
      <c r="Z8" s="7">
        <f>'Double Exponen'!$H$54</f>
        <v>13339.400119080003</v>
      </c>
      <c r="AA8" s="7">
        <f>'triple exponen'!$H$54</f>
        <v>12921.483051709802</v>
      </c>
      <c r="AB8" s="7">
        <f>'Konstanta a triple'!$H$54</f>
        <v>122468.82832348975</v>
      </c>
      <c r="AC8" s="7">
        <f>'Konstanta b triple'!$H$54</f>
        <v>2440367.120173892</v>
      </c>
      <c r="AD8" s="7">
        <f>'Konstanta c triple'!$H$54</f>
        <v>2923927.0398810743</v>
      </c>
      <c r="AE8" s="7">
        <f>'Peramalan triple'!$H$54</f>
        <v>1001153.9499378003</v>
      </c>
      <c r="AF8" s="7">
        <f t="shared" si="4"/>
        <v>-1776.2874299036107</v>
      </c>
      <c r="AG8" s="7">
        <f t="shared" si="5"/>
        <v>1776.2874299036107</v>
      </c>
    </row>
    <row r="9" spans="1:33" x14ac:dyDescent="0.3">
      <c r="A9" s="7" t="str">
        <f>'Rekap 0,1'!A9</f>
        <v>Agustus</v>
      </c>
      <c r="B9" s="7">
        <f>kg!$I$3</f>
        <v>11044.68</v>
      </c>
      <c r="C9" s="7">
        <f>'Single Exponen'!$I$50</f>
        <v>11667.146223444</v>
      </c>
      <c r="D9" s="7">
        <f>'Double Exponen'!$I$50</f>
        <v>12327.879823697403</v>
      </c>
      <c r="E9" s="7">
        <f>'triple exponen'!$I$50</f>
        <v>12330.239397965344</v>
      </c>
      <c r="F9" s="7">
        <f>'Konstanta a triple'!$I$50</f>
        <v>10348.038597205139</v>
      </c>
      <c r="G9" s="7">
        <f>'Konstanta b triple'!$I$50</f>
        <v>-44461.482922430179</v>
      </c>
      <c r="H9" s="7">
        <f>'Konstanta c triple'!$I$50</f>
        <v>-53328.296104822461</v>
      </c>
      <c r="I9" s="7">
        <f>'Peramalan triple'!$I$26</f>
        <v>21708.656562499993</v>
      </c>
      <c r="J9" s="7">
        <f t="shared" si="2"/>
        <v>-96.553060500621044</v>
      </c>
      <c r="K9" s="7">
        <f t="shared" si="3"/>
        <v>96.553060500621044</v>
      </c>
      <c r="L9" s="7" t="str">
        <f>'Rekap 0,1'!J9</f>
        <v>Agustus</v>
      </c>
      <c r="M9" s="7">
        <f>kg!$I$4</f>
        <v>511860.86</v>
      </c>
      <c r="N9" s="7">
        <f>'Single Exponen'!$I$51</f>
        <v>506022.71103208198</v>
      </c>
      <c r="O9" s="7">
        <f>'Double Exponen'!$I$51</f>
        <v>434578.6308584623</v>
      </c>
      <c r="P9" s="7">
        <f>'triple exponen'!$I$51</f>
        <v>433763.85447551368</v>
      </c>
      <c r="Q9" s="7">
        <f>'Konstanta a triple'!$I$51</f>
        <v>648096.09499637282</v>
      </c>
      <c r="R9" s="7">
        <f>'Konstanta b triple'!$I$51</f>
        <v>4774810.9933168385</v>
      </c>
      <c r="S9" s="7">
        <f>'Konstanta c triple'!$I$51</f>
        <v>5720973.6070443578</v>
      </c>
      <c r="T9" s="7">
        <f>'Peramalan triple'!$I$51</f>
        <v>3384812.8656159565</v>
      </c>
      <c r="U9" s="7">
        <f t="shared" si="0"/>
        <v>-561.27596972660831</v>
      </c>
      <c r="V9" s="7">
        <f t="shared" si="1"/>
        <v>561.27596972660831</v>
      </c>
      <c r="W9" s="7" t="str">
        <f>'Rekap 0,1'!S9</f>
        <v>Agustus</v>
      </c>
      <c r="X9" s="7">
        <f>kg!$I$7</f>
        <v>31973.26</v>
      </c>
      <c r="Y9" s="7">
        <f>'Single Exponen'!$I$54</f>
        <v>33761.452187634</v>
      </c>
      <c r="Z9" s="7">
        <f>'Double Exponen'!$I$54</f>
        <v>15381.605325935403</v>
      </c>
      <c r="AA9" s="7">
        <f>'triple exponen'!$I$54</f>
        <v>15135.593098512843</v>
      </c>
      <c r="AB9" s="7">
        <f>'Konstanta a triple'!$I$54</f>
        <v>70275.133683608641</v>
      </c>
      <c r="AC9" s="7">
        <f>'Konstanta b triple'!$I$54</f>
        <v>1226247.9478604353</v>
      </c>
      <c r="AD9" s="7">
        <f>'Konstanta c triple'!$I$54</f>
        <v>1468840.6053763598</v>
      </c>
      <c r="AE9" s="7">
        <f>'Peramalan triple'!$I$54</f>
        <v>4024799.4684379194</v>
      </c>
      <c r="AF9" s="7">
        <f t="shared" si="4"/>
        <v>-12488.01720074187</v>
      </c>
      <c r="AG9" s="7">
        <f t="shared" si="5"/>
        <v>12488.01720074187</v>
      </c>
    </row>
    <row r="10" spans="1:33" x14ac:dyDescent="0.3">
      <c r="A10" s="7" t="str">
        <f>'Rekap 0,1'!A10</f>
        <v>September</v>
      </c>
      <c r="B10" s="7">
        <f>kg!$J$3</f>
        <v>10889.55</v>
      </c>
      <c r="C10" s="7">
        <f>'Single Exponen'!$J$50</f>
        <v>10967.309622344399</v>
      </c>
      <c r="D10" s="7">
        <f>'Double Exponen'!$J$50</f>
        <v>12191.822803562105</v>
      </c>
      <c r="E10" s="7">
        <f>'triple exponen'!$J$50</f>
        <v>12205.664463002429</v>
      </c>
      <c r="F10" s="7">
        <f>'Konstanta a triple'!$J$50</f>
        <v>8532.1249193493113</v>
      </c>
      <c r="G10" s="7">
        <f>'Konstanta b triple'!$J$50</f>
        <v>-81844.902654936232</v>
      </c>
      <c r="H10" s="7">
        <f>'Konstanta c triple'!$J$50</f>
        <v>-98064.39326396797</v>
      </c>
      <c r="I10" s="7">
        <f>'Peramalan triple'!$J$26</f>
        <v>11904.225937500018</v>
      </c>
      <c r="J10" s="7">
        <f t="shared" si="2"/>
        <v>-9.3178867584061624</v>
      </c>
      <c r="K10" s="7">
        <f t="shared" si="3"/>
        <v>9.3178867584061624</v>
      </c>
      <c r="L10" s="7" t="str">
        <f>'Rekap 0,1'!J10</f>
        <v>September</v>
      </c>
      <c r="M10" s="7">
        <f>kg!$J$4</f>
        <v>513170.2</v>
      </c>
      <c r="N10" s="7">
        <f>'Single Exponen'!$J$51</f>
        <v>512455.45110320824</v>
      </c>
      <c r="O10" s="7">
        <f>'Double Exponen'!$J$51</f>
        <v>442366.31288293697</v>
      </c>
      <c r="P10" s="7">
        <f>'triple exponen'!$J$51</f>
        <v>441506.06704219466</v>
      </c>
      <c r="Q10" s="7">
        <f>'Konstanta a triple'!$J$51</f>
        <v>651773.48170300864</v>
      </c>
      <c r="R10" s="7">
        <f>'Konstanta b triple'!$J$51</f>
        <v>4680692.4481848907</v>
      </c>
      <c r="S10" s="7">
        <f>'Konstanta c triple'!$J$51</f>
        <v>5607540.2827418484</v>
      </c>
      <c r="T10" s="7">
        <f>'Peramalan triple'!$J$51</f>
        <v>8283393.8918353906</v>
      </c>
      <c r="U10" s="7">
        <f t="shared" si="0"/>
        <v>-1514.1611285759363</v>
      </c>
      <c r="V10" s="7">
        <f t="shared" si="1"/>
        <v>1514.1611285759363</v>
      </c>
      <c r="W10" s="7" t="str">
        <f>'Rekap 0,1'!S10</f>
        <v>September</v>
      </c>
      <c r="X10" s="7">
        <f>kg!$J$7</f>
        <v>28522.799999999999</v>
      </c>
      <c r="Y10" s="7">
        <f>'Single Exponen'!$J$54</f>
        <v>29046.665218763399</v>
      </c>
      <c r="Z10" s="7">
        <f>'Double Exponen'!$J$54</f>
        <v>16748.111315218204</v>
      </c>
      <c r="AA10" s="7">
        <f>'triple exponen'!$J$54</f>
        <v>16586.859493547669</v>
      </c>
      <c r="AB10" s="7">
        <f>'Konstanta a triple'!$J$54</f>
        <v>53482.521204183256</v>
      </c>
      <c r="AC10" s="7">
        <f>'Konstanta b triple'!$J$54</f>
        <v>820719.15692157403</v>
      </c>
      <c r="AD10" s="7">
        <f>'Konstanta c triple'!$J$54</f>
        <v>983121.46863184788</v>
      </c>
      <c r="AE10" s="7">
        <f>'Peramalan triple'!$J$54</f>
        <v>2030943.384232224</v>
      </c>
      <c r="AF10" s="7">
        <f t="shared" si="4"/>
        <v>-7020.4208010161137</v>
      </c>
      <c r="AG10" s="7">
        <f t="shared" si="5"/>
        <v>7020.4208010161137</v>
      </c>
    </row>
    <row r="11" spans="1:33" x14ac:dyDescent="0.3">
      <c r="A11" s="7" t="str">
        <f>'Rekap 0,1'!A11</f>
        <v>Oktober</v>
      </c>
      <c r="B11" s="7">
        <f>kg!$K$3</f>
        <v>8406.34</v>
      </c>
      <c r="C11" s="7">
        <f>'Single Exponen'!$K$50</f>
        <v>8662.4369622344402</v>
      </c>
      <c r="D11" s="7">
        <f>'Double Exponen'!$K$50</f>
        <v>11838.884219429339</v>
      </c>
      <c r="E11" s="7">
        <f>'triple exponen'!$K$50</f>
        <v>11875.56224378665</v>
      </c>
      <c r="F11" s="7">
        <f>'Konstanta a triple'!$K$50</f>
        <v>2346.2204722019542</v>
      </c>
      <c r="G11" s="7">
        <f>'Konstanta b triple'!$K$50</f>
        <v>-212264.52543575296</v>
      </c>
      <c r="H11" s="7">
        <f>'Konstanta c triple'!$K$50</f>
        <v>-254321.30785984482</v>
      </c>
      <c r="I11" s="7">
        <f>'Peramalan triple'!$K$26</f>
        <v>9728.9653906249914</v>
      </c>
      <c r="J11" s="7">
        <f t="shared" si="2"/>
        <v>-15.733665193472918</v>
      </c>
      <c r="K11" s="7">
        <f t="shared" si="3"/>
        <v>15.733665193472918</v>
      </c>
      <c r="L11" s="7" t="str">
        <f>'Rekap 0,1'!J11</f>
        <v>Oktober</v>
      </c>
      <c r="M11" s="7">
        <f>kg!$K$4</f>
        <v>525723.46</v>
      </c>
      <c r="N11" s="7">
        <f>'Single Exponen'!$K$51</f>
        <v>524396.65911032085</v>
      </c>
      <c r="O11" s="7">
        <f>'Double Exponen'!$K$51</f>
        <v>450569.3475056754</v>
      </c>
      <c r="P11" s="7">
        <f>'triple exponen'!$K$51</f>
        <v>449663.01945932733</v>
      </c>
      <c r="Q11" s="7">
        <f>'Konstanta a triple'!$K$51</f>
        <v>671144.95427326381</v>
      </c>
      <c r="R11" s="7">
        <f>'Konstanta b triple'!$K$51</f>
        <v>4930323.3426022055</v>
      </c>
      <c r="S11" s="7">
        <f>'Konstanta c triple'!$K$51</f>
        <v>5906599.6682220921</v>
      </c>
      <c r="T11" s="7">
        <f>'Peramalan triple'!$K$51</f>
        <v>8136236.0712588234</v>
      </c>
      <c r="U11" s="7">
        <f t="shared" si="0"/>
        <v>-1447.6265927449431</v>
      </c>
      <c r="V11" s="7">
        <f t="shared" si="1"/>
        <v>1447.6265927449431</v>
      </c>
      <c r="W11" s="7" t="str">
        <f>'Rekap 0,1'!S11</f>
        <v>Oktober</v>
      </c>
      <c r="X11" s="7">
        <f>kg!$K$7</f>
        <v>51078.26</v>
      </c>
      <c r="Y11" s="7">
        <f>'Single Exponen'!$K$54</f>
        <v>48875.100521876338</v>
      </c>
      <c r="Z11" s="7">
        <f>'Double Exponen'!$K$54</f>
        <v>19960.810235884019</v>
      </c>
      <c r="AA11" s="7">
        <f>'triple exponen'!$K$54</f>
        <v>19623.415161650388</v>
      </c>
      <c r="AB11" s="7">
        <f>'Konstanta a triple'!$K$54</f>
        <v>106366.28601962735</v>
      </c>
      <c r="AC11" s="7">
        <f>'Konstanta b triple'!$K$54</f>
        <v>1931976.9824618136</v>
      </c>
      <c r="AD11" s="7">
        <f>'Konstanta c triple'!$K$54</f>
        <v>2314728.5121524548</v>
      </c>
      <c r="AE11" s="7">
        <f>'Peramalan triple'!$K$54</f>
        <v>1365762.4124416811</v>
      </c>
      <c r="AF11" s="7">
        <f t="shared" si="4"/>
        <v>-2573.8624464531113</v>
      </c>
      <c r="AG11" s="7">
        <f t="shared" si="5"/>
        <v>2573.8624464531113</v>
      </c>
    </row>
    <row r="12" spans="1:33" x14ac:dyDescent="0.3">
      <c r="A12" s="7" t="str">
        <f>'Rekap 0,1'!A12</f>
        <v>November</v>
      </c>
      <c r="B12" s="7">
        <f>kg!$L$3</f>
        <v>18149.95</v>
      </c>
      <c r="C12" s="7">
        <f>'Single Exponen'!$L$50</f>
        <v>17201.198696223444</v>
      </c>
      <c r="D12" s="7">
        <f>'Double Exponen'!$L$50</f>
        <v>12375.115667108752</v>
      </c>
      <c r="E12" s="7">
        <f>'triple exponen'!$L$50</f>
        <v>12325.160324776542</v>
      </c>
      <c r="F12" s="7">
        <f>'Konstanta a triple'!$L$50</f>
        <v>26803.409412120618</v>
      </c>
      <c r="G12" s="7">
        <f>'Konstanta b triple'!$L$50</f>
        <v>322838.2169388074</v>
      </c>
      <c r="H12" s="7">
        <f>'Konstanta c triple'!$L$50</f>
        <v>386866.34262938122</v>
      </c>
      <c r="I12" s="7">
        <f>'Peramalan triple'!$L$26</f>
        <v>6150.978203124997</v>
      </c>
      <c r="J12" s="7">
        <f t="shared" si="2"/>
        <v>66.110219570164134</v>
      </c>
      <c r="K12" s="7">
        <f t="shared" si="3"/>
        <v>66.110219570164134</v>
      </c>
      <c r="L12" s="7" t="str">
        <f>'Rekap 0,1'!J12</f>
        <v>November</v>
      </c>
      <c r="M12" s="7">
        <f>kg!$L$4</f>
        <v>480711.96</v>
      </c>
      <c r="N12" s="7">
        <f>'Single Exponen'!$L$51</f>
        <v>485080.42991103209</v>
      </c>
      <c r="O12" s="7">
        <f>'Double Exponen'!$L$51</f>
        <v>454020.45574621105</v>
      </c>
      <c r="P12" s="7">
        <f>'triple exponen'!$L$51</f>
        <v>453584.71211752272</v>
      </c>
      <c r="Q12" s="7">
        <f>'Konstanta a triple'!$L$51</f>
        <v>546764.63461198588</v>
      </c>
      <c r="R12" s="7">
        <f>'Konstanta b triple'!$L$51</f>
        <v>2071057.2538471457</v>
      </c>
      <c r="S12" s="7">
        <f>'Konstanta c triple'!$L$51</f>
        <v>2480562.6734267501</v>
      </c>
      <c r="T12" s="7">
        <f>'Peramalan triple'!$L$51</f>
        <v>8554768.1309865154</v>
      </c>
      <c r="U12" s="7">
        <f t="shared" si="0"/>
        <v>-1679.6037633402161</v>
      </c>
      <c r="V12" s="7">
        <f t="shared" si="1"/>
        <v>1679.6037633402161</v>
      </c>
      <c r="W12" s="7" t="str">
        <f>'Rekap 0,1'!S12</f>
        <v>November</v>
      </c>
      <c r="X12" s="7">
        <f>kg!$L$7</f>
        <v>50149.88</v>
      </c>
      <c r="Y12" s="7">
        <f>'Single Exponen'!$L$54</f>
        <v>50022.40205218763</v>
      </c>
      <c r="Z12" s="7">
        <f>'Double Exponen'!$L$54</f>
        <v>22966.969417514381</v>
      </c>
      <c r="AA12" s="7">
        <f>'triple exponen'!$L$54</f>
        <v>22632.613991927981</v>
      </c>
      <c r="AB12" s="7">
        <f>'Konstanta a triple'!$L$54</f>
        <v>103798.91189594773</v>
      </c>
      <c r="AC12" s="7">
        <f>'Konstanta b triple'!$L$54</f>
        <v>1806681.9104436398</v>
      </c>
      <c r="AD12" s="7">
        <f>'Konstanta c triple'!$L$54</f>
        <v>2164407.253936036</v>
      </c>
      <c r="AE12" s="7">
        <f>'Peramalan triple'!$L$54</f>
        <v>3195707.5245576683</v>
      </c>
      <c r="AF12" s="7">
        <f t="shared" si="4"/>
        <v>-6272.3134024601222</v>
      </c>
      <c r="AG12" s="7">
        <f t="shared" si="5"/>
        <v>6272.3134024601222</v>
      </c>
    </row>
    <row r="13" spans="1:33" x14ac:dyDescent="0.3">
      <c r="A13" s="7" t="str">
        <f>'Rekap 0,1'!A13</f>
        <v>Desember</v>
      </c>
      <c r="B13" s="7">
        <f>kg!$M$3</f>
        <v>11905.39</v>
      </c>
      <c r="C13" s="7">
        <f>'Single Exponen'!$M$50</f>
        <v>12434.970869622344</v>
      </c>
      <c r="D13" s="7">
        <f>'Double Exponen'!$M$50</f>
        <v>12381.101187360111</v>
      </c>
      <c r="E13" s="7">
        <f>'triple exponen'!$M$50</f>
        <v>12375.507101101754</v>
      </c>
      <c r="F13" s="7">
        <f>'Konstanta a triple'!$M$50</f>
        <v>12537.11614788845</v>
      </c>
      <c r="G13" s="7">
        <f>'Konstanta b triple'!$M$50</f>
        <v>3308.9495065869046</v>
      </c>
      <c r="H13" s="7">
        <f>'Konstanta c triple'!$M$50</f>
        <v>3910.323276313939</v>
      </c>
      <c r="I13" s="7">
        <f>'Peramalan triple'!$M$26</f>
        <v>21256.787753906276</v>
      </c>
      <c r="J13" s="7">
        <f t="shared" si="2"/>
        <v>-78.547596961597037</v>
      </c>
      <c r="K13" s="7">
        <f t="shared" si="3"/>
        <v>78.547596961597037</v>
      </c>
      <c r="L13" s="7" t="str">
        <f>'Rekap 0,1'!J13</f>
        <v>Desember</v>
      </c>
      <c r="M13" s="7">
        <f>kg!$M$4</f>
        <v>428532.64</v>
      </c>
      <c r="N13" s="7">
        <f>'Single Exponen'!$M$51</f>
        <v>434187.41899110324</v>
      </c>
      <c r="O13" s="7">
        <f>'Double Exponen'!$M$51</f>
        <v>452037.15207070031</v>
      </c>
      <c r="P13" s="7">
        <f>'triple exponen'!$M$51</f>
        <v>452191.90807538258</v>
      </c>
      <c r="Q13" s="7">
        <f>'Konstanta a triple'!$M$51</f>
        <v>398642.70883659122</v>
      </c>
      <c r="R13" s="7">
        <f>'Konstanta b triple'!$M$51</f>
        <v>-1195803.7565988924</v>
      </c>
      <c r="S13" s="7">
        <f>'Konstanta c triple'!$M$51</f>
        <v>-1433293.1430680985</v>
      </c>
      <c r="T13" s="7">
        <f>'Peramalan triple'!$M$51</f>
        <v>3858103.2251725066</v>
      </c>
      <c r="U13" s="7">
        <f t="shared" si="0"/>
        <v>-800.30556952966435</v>
      </c>
      <c r="V13" s="7">
        <f t="shared" si="1"/>
        <v>800.30556952966435</v>
      </c>
      <c r="W13" s="7" t="str">
        <f>'Rekap 0,1'!S13</f>
        <v>Desember</v>
      </c>
      <c r="X13" s="7">
        <f>kg!$M$7</f>
        <v>42897.42</v>
      </c>
      <c r="Y13" s="7">
        <f>'Single Exponen'!$M$54</f>
        <v>43609.918205218761</v>
      </c>
      <c r="Z13" s="7">
        <f>'Double Exponen'!$M$54</f>
        <v>25031.264296284822</v>
      </c>
      <c r="AA13" s="7">
        <f>'triple exponen'!$M$54</f>
        <v>24791.399265849137</v>
      </c>
      <c r="AB13" s="7">
        <f>'Konstanta a triple'!$M$54</f>
        <v>80527.360992650938</v>
      </c>
      <c r="AC13" s="7">
        <f>'Konstanta b triple'!$M$54</f>
        <v>1240027.0345725529</v>
      </c>
      <c r="AD13" s="7">
        <f>'Konstanta c triple'!$M$54</f>
        <v>1485441.8991583593</v>
      </c>
      <c r="AE13" s="7">
        <f>'Peramalan triple'!$M$54</f>
        <v>2992684.4493076056</v>
      </c>
      <c r="AF13" s="7">
        <f t="shared" si="4"/>
        <v>-6876.3739854462247</v>
      </c>
      <c r="AG13" s="7">
        <f t="shared" si="5"/>
        <v>6876.3739854462247</v>
      </c>
    </row>
    <row r="14" spans="1:33" x14ac:dyDescent="0.3">
      <c r="J14" s="7">
        <f>(SUM(J3:J13)/12)</f>
        <v>-22.985420574131037</v>
      </c>
      <c r="K14" s="7">
        <f>(SUM(K3:K13)/12)</f>
        <v>64.628167080800736</v>
      </c>
      <c r="U14" s="7">
        <f>(SUM(U3:U13)/12)</f>
        <v>122.00463120267777</v>
      </c>
      <c r="V14" s="7">
        <f>(SUM(V3:V13)/12)</f>
        <v>1527.4646617510743</v>
      </c>
      <c r="AF14" s="7">
        <f>(SUM(AF3:AF13)/12)</f>
        <v>-6069.9669424328122</v>
      </c>
      <c r="AG14" s="7">
        <f>(SUM(AG3:AG13)/12)</f>
        <v>6085.9578087796717</v>
      </c>
    </row>
    <row r="15" spans="1:33" x14ac:dyDescent="0.3">
      <c r="L15" s="7" t="str">
        <f>'Rekap 0,1'!J15</f>
        <v>Oil A 1000 LT</v>
      </c>
      <c r="M15" s="4" t="s">
        <v>86</v>
      </c>
      <c r="N15" s="3"/>
      <c r="O15" s="3"/>
      <c r="P15" s="11" t="s">
        <v>87</v>
      </c>
      <c r="Q15" s="3"/>
      <c r="R15" s="3"/>
      <c r="S15" s="1" t="s">
        <v>78</v>
      </c>
      <c r="T15" s="1"/>
      <c r="U15" s="1" t="s">
        <v>28</v>
      </c>
      <c r="V15" s="1" t="s">
        <v>29</v>
      </c>
    </row>
    <row r="16" spans="1:33" x14ac:dyDescent="0.3">
      <c r="L16" s="7" t="str">
        <f>'Rekap 0,1'!J16</f>
        <v>Januari</v>
      </c>
      <c r="M16" s="7">
        <f>kg!$B$5</f>
        <v>23458.3</v>
      </c>
      <c r="N16" s="7">
        <f>'Single Exponen'!$B$52</f>
        <v>23458.3</v>
      </c>
      <c r="O16" s="7">
        <f>'Double Exponen'!$B$52</f>
        <v>23458.3</v>
      </c>
      <c r="P16" s="7">
        <f>'triple exponen'!$B$52</f>
        <v>23458.3</v>
      </c>
      <c r="Q16" s="7">
        <f>'Konstanta a triple'!$B$52</f>
        <v>23458.3</v>
      </c>
      <c r="R16" s="7">
        <f>'Konstanta b triple'!$B$52</f>
        <v>0</v>
      </c>
      <c r="S16" s="7">
        <f>'Konstanta c triple'!$B$52</f>
        <v>0</v>
      </c>
      <c r="T16" s="7"/>
      <c r="U16" s="7"/>
      <c r="V16" s="7"/>
    </row>
    <row r="17" spans="12:22" x14ac:dyDescent="0.3">
      <c r="L17" s="7" t="str">
        <f>'Rekap 0,1'!J17</f>
        <v>Februari</v>
      </c>
      <c r="M17" s="7">
        <f>kg!$C$5</f>
        <v>42216.6</v>
      </c>
      <c r="N17" s="7">
        <f>'Single Exponen'!$C$52</f>
        <v>40340.769999999997</v>
      </c>
      <c r="O17" s="7">
        <f>'Double Exponen'!$C$52</f>
        <v>25146.546999999999</v>
      </c>
      <c r="P17" s="7">
        <f>'triple exponen'!$C$52</f>
        <v>24977.722299999998</v>
      </c>
      <c r="Q17" s="7">
        <f>'Konstanta a triple'!$C$52</f>
        <v>70560.391299999988</v>
      </c>
      <c r="R17" s="7">
        <f>'Konstanta b triple'!$C$52</f>
        <v>1015733.8075499999</v>
      </c>
      <c r="S17" s="7">
        <f>'Konstanta c triple'!$C$52</f>
        <v>1217057.2623000003</v>
      </c>
      <c r="T17" s="7">
        <f>'Peramalan triple'!$C$52</f>
        <v>23458.3</v>
      </c>
      <c r="U17" s="7">
        <f t="shared" ref="U17:U27" si="6">((M17-T17)/M17)*100</f>
        <v>44.433469298806635</v>
      </c>
      <c r="V17" s="7">
        <f t="shared" ref="V17:V27" si="7">ABS((M17-T17)/M17)*100</f>
        <v>44.433469298806635</v>
      </c>
    </row>
    <row r="18" spans="12:22" x14ac:dyDescent="0.3">
      <c r="L18" s="7" t="str">
        <f>'Rekap 0,1'!J18</f>
        <v>Maret</v>
      </c>
      <c r="M18" s="7">
        <f>kg!$D$5</f>
        <v>28751.9</v>
      </c>
      <c r="N18" s="7">
        <f>'Single Exponen'!$D$52</f>
        <v>29910.787000000004</v>
      </c>
      <c r="O18" s="7">
        <f>'Double Exponen'!$D$52</f>
        <v>25622.970999999998</v>
      </c>
      <c r="P18" s="7">
        <f>'triple exponen'!$D$52</f>
        <v>25558.446129999997</v>
      </c>
      <c r="Q18" s="7">
        <f>'Konstanta a triple'!$D$52</f>
        <v>38421.894130000001</v>
      </c>
      <c r="R18" s="7">
        <f>'Konstanta b triple'!$D$52</f>
        <v>285652.87510499998</v>
      </c>
      <c r="S18" s="7">
        <f>'Konstanta c triple'!$D$52</f>
        <v>342086.58153000061</v>
      </c>
      <c r="T18" s="7">
        <f>'Peramalan triple'!$D$52</f>
        <v>1694822.83</v>
      </c>
      <c r="U18" s="7">
        <f t="shared" si="6"/>
        <v>-5794.6463711963388</v>
      </c>
      <c r="V18" s="7">
        <f t="shared" si="7"/>
        <v>5794.6463711963388</v>
      </c>
    </row>
    <row r="19" spans="12:22" x14ac:dyDescent="0.3">
      <c r="L19" s="7" t="str">
        <f>'Rekap 0,1'!J19</f>
        <v>April</v>
      </c>
      <c r="M19" s="7">
        <f>kg!$E$5</f>
        <v>39376.9</v>
      </c>
      <c r="N19" s="7">
        <f>'Single Exponen'!$E$52</f>
        <v>38430.288700000005</v>
      </c>
      <c r="O19" s="7">
        <f>'Double Exponen'!$E$52</f>
        <v>26903.70277</v>
      </c>
      <c r="P19" s="7">
        <f>'triple exponen'!$E$52</f>
        <v>26769.177106000003</v>
      </c>
      <c r="Q19" s="7">
        <f>'Konstanta a triple'!$E$52</f>
        <v>61348.934896000021</v>
      </c>
      <c r="R19" s="7">
        <f>'Konstanta b triple'!$E$52</f>
        <v>770174.79893100052</v>
      </c>
      <c r="S19" s="7">
        <f>'Konstanta c triple'!$E$52</f>
        <v>922756.88154600107</v>
      </c>
      <c r="T19" s="7">
        <f>'Peramalan triple'!$E$52</f>
        <v>495118.06000000029</v>
      </c>
      <c r="U19" s="7">
        <f t="shared" si="6"/>
        <v>-1157.3820183914941</v>
      </c>
      <c r="V19" s="7">
        <f t="shared" si="7"/>
        <v>1157.3820183914941</v>
      </c>
    </row>
    <row r="20" spans="12:22" x14ac:dyDescent="0.3">
      <c r="L20" s="7" t="str">
        <f>'Rekap 0,1'!J20</f>
        <v>Mei</v>
      </c>
      <c r="M20" s="7">
        <f>kg!$F$5</f>
        <v>23861.599999999999</v>
      </c>
      <c r="N20" s="7">
        <f>'Single Exponen'!$F$52</f>
        <v>25318.468869999997</v>
      </c>
      <c r="O20" s="7">
        <f>'Double Exponen'!$F$52</f>
        <v>26745.179379999998</v>
      </c>
      <c r="P20" s="7">
        <f>'triple exponen'!$F$52</f>
        <v>26747.579152600003</v>
      </c>
      <c r="Q20" s="7">
        <f>'Konstanta a triple'!$F$52</f>
        <v>22467.447622600004</v>
      </c>
      <c r="R20" s="7">
        <f>'Konstanta b triple'!$F$52</f>
        <v>-96162.572727900028</v>
      </c>
      <c r="S20" s="7">
        <f>'Konstanta c triple'!$F$52</f>
        <v>-115369.1697293997</v>
      </c>
      <c r="T20" s="7">
        <f>'Peramalan triple'!$F$52</f>
        <v>1292902.174600001</v>
      </c>
      <c r="U20" s="7">
        <f t="shared" si="6"/>
        <v>-5318.3381441311603</v>
      </c>
      <c r="V20" s="7">
        <f t="shared" si="7"/>
        <v>5318.3381441311603</v>
      </c>
    </row>
    <row r="21" spans="12:22" x14ac:dyDescent="0.3">
      <c r="L21" s="7" t="str">
        <f>'Rekap 0,1'!J21</f>
        <v>Juni</v>
      </c>
      <c r="M21" s="7">
        <f>kg!$G$5</f>
        <v>57216.9</v>
      </c>
      <c r="N21" s="7">
        <f>'Single Exponen'!$G$52</f>
        <v>54027.056886999999</v>
      </c>
      <c r="O21" s="7">
        <f>'Double Exponen'!$G$52</f>
        <v>29473.367130700004</v>
      </c>
      <c r="P21" s="7">
        <f>'triple exponen'!$G$52</f>
        <v>29200.788332890006</v>
      </c>
      <c r="Q21" s="7">
        <f>'Konstanta a triple'!$G$52</f>
        <v>102861.85760179</v>
      </c>
      <c r="R21" s="7">
        <f>'Konstanta b triple'!$G$52</f>
        <v>1641428.1988783651</v>
      </c>
      <c r="S21" s="7">
        <f>'Konstanta c triple'!$G$52</f>
        <v>1966769.9876376907</v>
      </c>
      <c r="T21" s="7">
        <f>'Peramalan triple'!$G$52</f>
        <v>-131379.70996999985</v>
      </c>
      <c r="U21" s="7">
        <f t="shared" si="6"/>
        <v>329.61696626346384</v>
      </c>
      <c r="V21" s="7">
        <f t="shared" si="7"/>
        <v>329.61696626346384</v>
      </c>
    </row>
    <row r="22" spans="12:22" x14ac:dyDescent="0.3">
      <c r="L22" s="7" t="str">
        <f>'Rekap 0,1'!J22</f>
        <v>Juli</v>
      </c>
      <c r="M22" s="7">
        <f>kg!$H$5</f>
        <v>83736.7</v>
      </c>
      <c r="N22" s="7">
        <f>'Single Exponen'!$H$52</f>
        <v>80765.735688699991</v>
      </c>
      <c r="O22" s="7">
        <f>'Double Exponen'!$H$52</f>
        <v>34602.603986500006</v>
      </c>
      <c r="P22" s="7">
        <f>'triple exponen'!$H$52</f>
        <v>34062.42242113901</v>
      </c>
      <c r="Q22" s="7">
        <f>'Konstanta a triple'!$H$52</f>
        <v>172551.81752773898</v>
      </c>
      <c r="R22" s="7">
        <f>'Konstanta b triple'!$H$52</f>
        <v>3084410.7683248799</v>
      </c>
      <c r="S22" s="7">
        <f>'Konstanta c triple'!$H$52</f>
        <v>3695458.9610839603</v>
      </c>
      <c r="T22" s="7">
        <f>'Peramalan triple'!$H$52</f>
        <v>2727675.0502990005</v>
      </c>
      <c r="U22" s="7">
        <f t="shared" si="6"/>
        <v>-3157.4427345465015</v>
      </c>
      <c r="V22" s="7">
        <f t="shared" si="7"/>
        <v>3157.4427345465015</v>
      </c>
    </row>
    <row r="23" spans="12:22" x14ac:dyDescent="0.3">
      <c r="L23" s="7" t="str">
        <f>'Rekap 0,1'!J23</f>
        <v>Agustus</v>
      </c>
      <c r="M23" s="7">
        <f>kg!$I$5</f>
        <v>54053.2</v>
      </c>
      <c r="N23" s="7">
        <f>'Single Exponen'!$I$52</f>
        <v>56724.453568869998</v>
      </c>
      <c r="O23" s="7">
        <f>'Double Exponen'!$I$52</f>
        <v>36814.788944737011</v>
      </c>
      <c r="P23" s="7">
        <f>'triple exponen'!$I$52</f>
        <v>36539.552292377215</v>
      </c>
      <c r="Q23" s="7">
        <f>'Konstanta a triple'!$I$52</f>
        <v>96268.546164776169</v>
      </c>
      <c r="R23" s="7">
        <f>'Konstanta b triple'!$I$52</f>
        <v>1327801.0179659282</v>
      </c>
      <c r="S23" s="7">
        <f>'Konstanta c triple'!$I$52</f>
        <v>1590388.6657136295</v>
      </c>
      <c r="T23" s="7">
        <f>'Peramalan triple'!$I$52</f>
        <v>5104692.0663945992</v>
      </c>
      <c r="U23" s="7">
        <f t="shared" si="6"/>
        <v>-9343.8295353366666</v>
      </c>
      <c r="V23" s="7">
        <f t="shared" si="7"/>
        <v>9343.8295353366666</v>
      </c>
    </row>
    <row r="24" spans="12:22" x14ac:dyDescent="0.3">
      <c r="L24" s="7" t="str">
        <f>'Rekap 0,1'!J24</f>
        <v>September</v>
      </c>
      <c r="M24" s="7">
        <f>kg!$J$5</f>
        <v>11264.5</v>
      </c>
      <c r="N24" s="7">
        <f>'Single Exponen'!$J$52</f>
        <v>15810.495356887004</v>
      </c>
      <c r="O24" s="7">
        <f>'Double Exponen'!$J$52</f>
        <v>34714.359585952006</v>
      </c>
      <c r="P24" s="7">
        <f>'triple exponen'!$J$52</f>
        <v>34896.878856594529</v>
      </c>
      <c r="Q24" s="7">
        <f>'Konstanta a triple'!$J$52</f>
        <v>-21814.713830600471</v>
      </c>
      <c r="R24" s="7">
        <f>'Konstanta b triple'!$J$52</f>
        <v>-1265333.4581293</v>
      </c>
      <c r="S24" s="7">
        <f>'Konstanta c triple'!$J$52</f>
        <v>-1516428.9416322217</v>
      </c>
      <c r="T24" s="7">
        <f>'Peramalan triple'!$J$52</f>
        <v>2219263.8969875192</v>
      </c>
      <c r="U24" s="7">
        <f t="shared" si="6"/>
        <v>-19601.39728339047</v>
      </c>
      <c r="V24" s="7">
        <f t="shared" si="7"/>
        <v>19601.39728339047</v>
      </c>
    </row>
    <row r="25" spans="12:22" x14ac:dyDescent="0.3">
      <c r="L25" s="7" t="str">
        <f>'Rekap 0,1'!J25</f>
        <v>Oktober</v>
      </c>
      <c r="M25" s="7">
        <f>kg!$K$5</f>
        <v>24215</v>
      </c>
      <c r="N25" s="7">
        <f>'Single Exponen'!$K$52</f>
        <v>23374.549535688697</v>
      </c>
      <c r="O25" s="7">
        <f>'Double Exponen'!$K$52</f>
        <v>33580.378580925673</v>
      </c>
      <c r="P25" s="7">
        <f>'triple exponen'!$K$52</f>
        <v>33712.028608492561</v>
      </c>
      <c r="Q25" s="7">
        <f>'Konstanta a triple'!$K$52</f>
        <v>3094.5414727816242</v>
      </c>
      <c r="R25" s="7">
        <f>'Konstanta b triple'!$K$52</f>
        <v>-681191.93394083274</v>
      </c>
      <c r="S25" s="7">
        <f>'Konstanta c triple'!$K$52</f>
        <v>-816008.50043127767</v>
      </c>
      <c r="T25" s="7">
        <f>'Peramalan triple'!$K$52</f>
        <v>-2045362.6427760115</v>
      </c>
      <c r="U25" s="7">
        <f t="shared" si="6"/>
        <v>8546.6762039067162</v>
      </c>
      <c r="V25" s="7">
        <f t="shared" si="7"/>
        <v>8546.6762039067162</v>
      </c>
    </row>
    <row r="26" spans="12:22" x14ac:dyDescent="0.3">
      <c r="L26" s="7" t="str">
        <f>'Rekap 0,1'!J26</f>
        <v>November</v>
      </c>
      <c r="M26" s="7">
        <f>kg!$L$5</f>
        <v>26860.6</v>
      </c>
      <c r="N26" s="7">
        <f>'Single Exponen'!$L$52</f>
        <v>26511.994953568868</v>
      </c>
      <c r="O26" s="7">
        <f>'Double Exponen'!$L$52</f>
        <v>32873.540218189992</v>
      </c>
      <c r="P26" s="7">
        <f>'triple exponen'!$L$52</f>
        <v>32957.389057220251</v>
      </c>
      <c r="Q26" s="7">
        <f>'Konstanta a triple'!$L$52</f>
        <v>13872.753263356892</v>
      </c>
      <c r="R26" s="7">
        <f>'Konstanta b triple'!$L$52</f>
        <v>-424499.14827865578</v>
      </c>
      <c r="S26" s="7">
        <f>'Konstanta c triple'!$L$52</f>
        <v>-508493.41047286056</v>
      </c>
      <c r="T26" s="7">
        <f>'Peramalan triple'!$L$52</f>
        <v>-1086101.6426836899</v>
      </c>
      <c r="U26" s="7">
        <f t="shared" si="6"/>
        <v>4143.4749882120659</v>
      </c>
      <c r="V26" s="7">
        <f t="shared" si="7"/>
        <v>4143.4749882120659</v>
      </c>
    </row>
    <row r="27" spans="12:22" x14ac:dyDescent="0.3">
      <c r="L27" s="7" t="str">
        <f>'Rekap 0,1'!J27</f>
        <v>Desember</v>
      </c>
      <c r="M27" s="7">
        <f>kg!$M$5</f>
        <v>33852.699999999997</v>
      </c>
      <c r="N27" s="7">
        <f>'Single Exponen'!$M$52</f>
        <v>33118.629495356879</v>
      </c>
      <c r="O27" s="7">
        <f>'Double Exponen'!$M$52</f>
        <v>32898.049145906683</v>
      </c>
      <c r="P27" s="7">
        <f>'triple exponen'!$M$52</f>
        <v>32903.983137038042</v>
      </c>
      <c r="Q27" s="7">
        <f>'Konstanta a triple'!$M$52</f>
        <v>33565.724185388637</v>
      </c>
      <c r="R27" s="7">
        <f>'Konstanta b triple'!$M$52</f>
        <v>15236.31206907259</v>
      </c>
      <c r="S27" s="7">
        <f>'Konstanta c triple'!$M$52</f>
        <v>18347.661587105908</v>
      </c>
      <c r="T27" s="7">
        <f>'Peramalan triple'!$M$52</f>
        <v>-664873.10025172913</v>
      </c>
      <c r="U27" s="7">
        <f t="shared" si="6"/>
        <v>2064.0179372745133</v>
      </c>
      <c r="V27" s="7">
        <f t="shared" si="7"/>
        <v>2064.0179372745133</v>
      </c>
    </row>
    <row r="28" spans="12:22" x14ac:dyDescent="0.3">
      <c r="U28" s="7">
        <f>(SUM(U17:U27)/12)</f>
        <v>-2437.0680435030886</v>
      </c>
      <c r="V28" s="7">
        <f>(SUM(V17:V27)/12)</f>
        <v>4958.4379709956838</v>
      </c>
    </row>
    <row r="29" spans="12:22" x14ac:dyDescent="0.3">
      <c r="L29" s="7" t="str">
        <f>'Rekap 0,1'!J29</f>
        <v>Oil B 20 LT</v>
      </c>
      <c r="M29" s="4" t="s">
        <v>86</v>
      </c>
      <c r="N29" s="3"/>
      <c r="O29" s="3"/>
      <c r="P29" s="11" t="s">
        <v>87</v>
      </c>
      <c r="Q29" s="3"/>
      <c r="R29" s="3"/>
      <c r="S29" s="1" t="s">
        <v>78</v>
      </c>
      <c r="T29" s="1"/>
      <c r="U29" s="1" t="s">
        <v>28</v>
      </c>
      <c r="V29" s="1" t="s">
        <v>29</v>
      </c>
    </row>
    <row r="30" spans="12:22" x14ac:dyDescent="0.3">
      <c r="L30" s="7" t="str">
        <f>'Rekap 0,1'!J30</f>
        <v>Januari</v>
      </c>
      <c r="M30" s="7">
        <f>kg!$B$6</f>
        <v>4698.6499999999996</v>
      </c>
      <c r="N30" s="7">
        <f>'Single Exponen'!$B$53</f>
        <v>4698.6499999999996</v>
      </c>
      <c r="O30" s="7">
        <f>'Double Exponen'!$B$53</f>
        <v>4698.6499999999996</v>
      </c>
      <c r="P30" s="7">
        <f>'triple exponen'!$B$53</f>
        <v>4698.6499999999996</v>
      </c>
      <c r="Q30" s="7">
        <f>'Konstanta a triple'!$B$53</f>
        <v>4698.6499999999996</v>
      </c>
      <c r="R30" s="7">
        <f>'Konstanta b triple'!$B$53</f>
        <v>4.0927261579781764E-11</v>
      </c>
      <c r="S30" s="7">
        <f>'Konstanta c triple'!$B$53</f>
        <v>0</v>
      </c>
      <c r="T30" s="7"/>
      <c r="U30" s="7"/>
      <c r="V30" s="7"/>
    </row>
    <row r="31" spans="12:22" x14ac:dyDescent="0.3">
      <c r="L31" s="7" t="str">
        <f>'Rekap 0,1'!J31</f>
        <v>Februari</v>
      </c>
      <c r="M31" s="7">
        <f>kg!$C$6</f>
        <v>8645</v>
      </c>
      <c r="N31" s="7">
        <f>'Single Exponen'!$C$53</f>
        <v>8250.3649999999998</v>
      </c>
      <c r="O31" s="7">
        <f>'Double Exponen'!$C$53</f>
        <v>5053.8215</v>
      </c>
      <c r="P31" s="7">
        <f>'triple exponen'!$C$53</f>
        <v>5018.3043500000003</v>
      </c>
      <c r="Q31" s="7">
        <f>'Konstanta a triple'!$C$53</f>
        <v>14607.934850000001</v>
      </c>
      <c r="R31" s="7">
        <f>'Konstanta b triple'!$C$53</f>
        <v>213688.93297500003</v>
      </c>
      <c r="S31" s="7">
        <f>'Konstanta c triple'!$C$53</f>
        <v>256043.13435000015</v>
      </c>
      <c r="T31" s="7">
        <f>'Peramalan triple'!$C$53</f>
        <v>4698.6500000000406</v>
      </c>
      <c r="U31" s="7">
        <f t="shared" ref="U31:U41" si="8">((M31-T31)/M31)*100</f>
        <v>45.648930017350601</v>
      </c>
      <c r="V31" s="7">
        <f t="shared" ref="V31:V41" si="9">ABS((M31-T31)/M31)*100</f>
        <v>45.648930017350601</v>
      </c>
    </row>
    <row r="32" spans="12:22" x14ac:dyDescent="0.3">
      <c r="L32" s="7" t="str">
        <f>'Rekap 0,1'!J32</f>
        <v>Maret</v>
      </c>
      <c r="M32" s="7">
        <f>kg!$D$6</f>
        <v>7989.45</v>
      </c>
      <c r="N32" s="7">
        <f>'Single Exponen'!$D$53</f>
        <v>8015.5415000000003</v>
      </c>
      <c r="O32" s="7">
        <f>'Double Exponen'!$D$53</f>
        <v>5349.9935000000005</v>
      </c>
      <c r="P32" s="7">
        <f>'triple exponen'!$D$53</f>
        <v>5316.8245850000003</v>
      </c>
      <c r="Q32" s="7">
        <f>'Konstanta a triple'!$D$53</f>
        <v>13313.468585000001</v>
      </c>
      <c r="R32" s="7">
        <f>'Konstanta b triple'!$D$53</f>
        <v>177984.10847250003</v>
      </c>
      <c r="S32" s="7">
        <f>'Konstanta c triple'!$D$53</f>
        <v>213222.70588500009</v>
      </c>
      <c r="T32" s="7">
        <f>'Peramalan triple'!$D$53</f>
        <v>356318.43500000011</v>
      </c>
      <c r="U32" s="7">
        <f t="shared" si="8"/>
        <v>-4359.8618803547188</v>
      </c>
      <c r="V32" s="7">
        <f t="shared" si="9"/>
        <v>4359.8618803547188</v>
      </c>
    </row>
    <row r="33" spans="12:22" x14ac:dyDescent="0.3">
      <c r="L33" s="7" t="str">
        <f>'Rekap 0,1'!J33</f>
        <v>April</v>
      </c>
      <c r="M33" s="7">
        <f>kg!$E$6</f>
        <v>6543.56</v>
      </c>
      <c r="N33" s="7">
        <f>'Single Exponen'!$E$53</f>
        <v>6690.7581500000006</v>
      </c>
      <c r="O33" s="7">
        <f>'Double Exponen'!$E$53</f>
        <v>5484.0699649999997</v>
      </c>
      <c r="P33" s="7">
        <f>'triple exponen'!$E$53</f>
        <v>5467.3454270000002</v>
      </c>
      <c r="Q33" s="7">
        <f>'Konstanta a triple'!$E$53</f>
        <v>9087.409982000001</v>
      </c>
      <c r="R33" s="7">
        <f>'Konstanta b triple'!$E$53</f>
        <v>80473.067014500048</v>
      </c>
      <c r="S33" s="7">
        <f>'Konstanta c triple'!$E$53</f>
        <v>96387.055407000167</v>
      </c>
      <c r="T33" s="7">
        <f>'Peramalan triple'!$E$53</f>
        <v>297908.93000000005</v>
      </c>
      <c r="U33" s="7">
        <f t="shared" si="8"/>
        <v>-4452.704185489245</v>
      </c>
      <c r="V33" s="7">
        <f t="shared" si="9"/>
        <v>4452.704185489245</v>
      </c>
    </row>
    <row r="34" spans="12:22" x14ac:dyDescent="0.3">
      <c r="L34" s="7" t="str">
        <f>'Rekap 0,1'!J34</f>
        <v>Mei</v>
      </c>
      <c r="M34" s="7">
        <f>kg!$F$6</f>
        <v>45697.599999999999</v>
      </c>
      <c r="N34" s="7">
        <f>'Single Exponen'!$F$53</f>
        <v>41796.915815</v>
      </c>
      <c r="O34" s="7">
        <f>'Double Exponen'!$F$53</f>
        <v>9115.35455</v>
      </c>
      <c r="P34" s="7">
        <f>'triple exponen'!$F$53</f>
        <v>8750.5536376999989</v>
      </c>
      <c r="Q34" s="7">
        <f>'Konstanta a triple'!$F$53</f>
        <v>106795.2374327</v>
      </c>
      <c r="R34" s="7">
        <f>'Konstanta b triple'!$F$53</f>
        <v>2184664.53201795</v>
      </c>
      <c r="S34" s="7">
        <f>'Konstanta c triple'!$F$53</f>
        <v>2617657.5885687014</v>
      </c>
      <c r="T34" s="7">
        <f>'Peramalan triple'!$F$53</f>
        <v>137754.00470000014</v>
      </c>
      <c r="U34" s="7">
        <f t="shared" si="8"/>
        <v>-201.446913404643</v>
      </c>
      <c r="V34" s="7">
        <f t="shared" si="9"/>
        <v>201.446913404643</v>
      </c>
    </row>
    <row r="35" spans="12:22" x14ac:dyDescent="0.3">
      <c r="L35" s="7" t="str">
        <f>'Rekap 0,1'!J35</f>
        <v>Juni</v>
      </c>
      <c r="M35" s="7">
        <f>kg!$G$6</f>
        <v>6943.02</v>
      </c>
      <c r="N35" s="7">
        <f>'Single Exponen'!$G$53</f>
        <v>10428.409581500004</v>
      </c>
      <c r="O35" s="7">
        <f>'Double Exponen'!$G$53</f>
        <v>9246.6600531499989</v>
      </c>
      <c r="P35" s="7">
        <f>'triple exponen'!$G$53</f>
        <v>9197.0494116049995</v>
      </c>
      <c r="Q35" s="7">
        <f>'Konstanta a triple'!$G$53</f>
        <v>12742.297996655016</v>
      </c>
      <c r="R35" s="7">
        <f>'Konstanta b triple'!$G$53</f>
        <v>76865.870633242812</v>
      </c>
      <c r="S35" s="7">
        <f>'Konstanta c triple'!$G$53</f>
        <v>91703.249831205481</v>
      </c>
      <c r="T35" s="7">
        <f>'Peramalan triple'!$G$53</f>
        <v>3600288.5637350008</v>
      </c>
      <c r="U35" s="7">
        <f t="shared" si="8"/>
        <v>-51754.791772672419</v>
      </c>
      <c r="V35" s="7">
        <f t="shared" si="9"/>
        <v>51754.791772672419</v>
      </c>
    </row>
    <row r="36" spans="12:22" x14ac:dyDescent="0.3">
      <c r="L36" s="7" t="str">
        <f>'Rekap 0,1'!J36</f>
        <v>Juli</v>
      </c>
      <c r="M36" s="7">
        <f>kg!$H$6</f>
        <v>8627.7099999999991</v>
      </c>
      <c r="N36" s="7">
        <f>'Single Exponen'!$H$53</f>
        <v>8807.7799581500003</v>
      </c>
      <c r="O36" s="7">
        <f>'Double Exponen'!$H$53</f>
        <v>9202.7720436500003</v>
      </c>
      <c r="P36" s="7">
        <f>'triple exponen'!$H$53</f>
        <v>9202.1997804455023</v>
      </c>
      <c r="Q36" s="7">
        <f>'Konstanta a triple'!$H$53</f>
        <v>8017.223523945504</v>
      </c>
      <c r="R36" s="7">
        <f>'Konstanta b triple'!$H$53</f>
        <v>-26695.443168713085</v>
      </c>
      <c r="S36" s="7">
        <f>'Konstanta c triple'!$H$53</f>
        <v>-32040.712245064366</v>
      </c>
      <c r="T36" s="7">
        <f>'Peramalan triple'!$H$53</f>
        <v>135459.79354550058</v>
      </c>
      <c r="U36" s="7">
        <f t="shared" si="8"/>
        <v>-1470.0550151256891</v>
      </c>
      <c r="V36" s="7">
        <f t="shared" si="9"/>
        <v>1470.0550151256891</v>
      </c>
    </row>
    <row r="37" spans="12:22" x14ac:dyDescent="0.3">
      <c r="L37" s="7" t="str">
        <f>'Rekap 0,1'!J37</f>
        <v>Agustus</v>
      </c>
      <c r="M37" s="7">
        <f>kg!$I$6</f>
        <v>17194</v>
      </c>
      <c r="N37" s="7">
        <f>'Single Exponen'!$I$53</f>
        <v>16355.377995814999</v>
      </c>
      <c r="O37" s="7">
        <f>'Double Exponen'!$I$53</f>
        <v>9918.0326388665017</v>
      </c>
      <c r="P37" s="7">
        <f>'triple exponen'!$I$53</f>
        <v>9846.4493530244017</v>
      </c>
      <c r="Q37" s="7">
        <f>'Konstanta a triple'!$I$53</f>
        <v>29158.485423869897</v>
      </c>
      <c r="R37" s="7">
        <f>'Konstanta b triple'!$I$53</f>
        <v>430333.18937226071</v>
      </c>
      <c r="S37" s="7">
        <f>'Konstanta c triple'!$I$53</f>
        <v>515626.72775961843</v>
      </c>
      <c r="T37" s="7">
        <f>'Peramalan triple'!$I$53</f>
        <v>-34698.575767299764</v>
      </c>
      <c r="U37" s="7">
        <f t="shared" si="8"/>
        <v>301.80630317145381</v>
      </c>
      <c r="V37" s="7">
        <f t="shared" si="9"/>
        <v>301.80630317145381</v>
      </c>
    </row>
    <row r="38" spans="12:22" x14ac:dyDescent="0.3">
      <c r="L38" s="7" t="str">
        <f>'Rekap 0,1'!J38</f>
        <v>September</v>
      </c>
      <c r="M38" s="7">
        <f>kg!$J$6</f>
        <v>17242</v>
      </c>
      <c r="N38" s="7">
        <f>'Single Exponen'!$J$53</f>
        <v>17153.337799581499</v>
      </c>
      <c r="O38" s="7">
        <f>'Double Exponen'!$J$53</f>
        <v>10641.563154938001</v>
      </c>
      <c r="P38" s="7">
        <f>'triple exponen'!$J$53</f>
        <v>10562.051774746642</v>
      </c>
      <c r="Q38" s="7">
        <f>'Konstanta a triple'!$J$53</f>
        <v>30097.375708677137</v>
      </c>
      <c r="R38" s="7">
        <f>'Konstanta b triple'!$J$53</f>
        <v>434893.37277224154</v>
      </c>
      <c r="S38" s="7">
        <f>'Konstanta c triple'!$J$53</f>
        <v>521013.32442062348</v>
      </c>
      <c r="T38" s="7">
        <f>'Peramalan triple'!$J$53</f>
        <v>717305.0386759399</v>
      </c>
      <c r="U38" s="7">
        <f t="shared" si="8"/>
        <v>-4060.2194564200204</v>
      </c>
      <c r="V38" s="7">
        <f t="shared" si="9"/>
        <v>4060.2194564200204</v>
      </c>
    </row>
    <row r="39" spans="12:22" x14ac:dyDescent="0.3">
      <c r="L39" s="7" t="str">
        <f>'Rekap 0,1'!J39</f>
        <v>Oktober</v>
      </c>
      <c r="M39" s="7">
        <f>kg!$K$6</f>
        <v>35167.199999999997</v>
      </c>
      <c r="N39" s="7">
        <f>'Single Exponen'!$K$53</f>
        <v>33365.813779958145</v>
      </c>
      <c r="O39" s="7">
        <f>'Double Exponen'!$K$53</f>
        <v>12913.988217440015</v>
      </c>
      <c r="P39" s="7">
        <f>'triple exponen'!$K$53</f>
        <v>12678.794573170679</v>
      </c>
      <c r="Q39" s="7">
        <f>'Konstanta a triple'!$K$53</f>
        <v>74034.271260725072</v>
      </c>
      <c r="R39" s="7">
        <f>'Konstanta b triple'!$K$53</f>
        <v>1366739.3972802174</v>
      </c>
      <c r="S39" s="7">
        <f>'Konstanta c triple'!$K$53</f>
        <v>1637547.1853781531</v>
      </c>
      <c r="T39" s="7">
        <f>'Peramalan triple'!$K$53</f>
        <v>725497.41069123044</v>
      </c>
      <c r="U39" s="7">
        <f t="shared" si="8"/>
        <v>-1962.9945252713626</v>
      </c>
      <c r="V39" s="7">
        <f t="shared" si="9"/>
        <v>1962.9945252713626</v>
      </c>
    </row>
    <row r="40" spans="12:22" x14ac:dyDescent="0.3">
      <c r="L40" s="7" t="str">
        <f>'Rekap 0,1'!J40</f>
        <v>November</v>
      </c>
      <c r="M40" s="7">
        <f>kg!$L$6</f>
        <v>6543.4</v>
      </c>
      <c r="N40" s="7">
        <f>'Single Exponen'!$L$53</f>
        <v>9225.6413779958166</v>
      </c>
      <c r="O40" s="7">
        <f>'Double Exponen'!$L$53</f>
        <v>12545.153533495597</v>
      </c>
      <c r="P40" s="7">
        <f>'triple exponen'!$L$53</f>
        <v>12558.517637463105</v>
      </c>
      <c r="Q40" s="7">
        <f>'Konstanta a triple'!$L$53</f>
        <v>2599.9811709637652</v>
      </c>
      <c r="R40" s="7">
        <f>'Konstanta b triple'!$L$53</f>
        <v>-223285.27041413586</v>
      </c>
      <c r="S40" s="7">
        <f>'Konstanta c triple'!$L$53</f>
        <v>-267797.99217411422</v>
      </c>
      <c r="T40" s="7">
        <f>'Peramalan triple'!$L$53</f>
        <v>2259547.2612300189</v>
      </c>
      <c r="U40" s="7">
        <f t="shared" si="8"/>
        <v>-34431.700052419525</v>
      </c>
      <c r="V40" s="7">
        <f t="shared" si="9"/>
        <v>34431.700052419525</v>
      </c>
    </row>
    <row r="41" spans="12:22" x14ac:dyDescent="0.3">
      <c r="L41" s="7" t="str">
        <f>'Rekap 0,1'!J41</f>
        <v>Desember</v>
      </c>
      <c r="M41" s="7">
        <f>kg!$M$6</f>
        <v>8401.5400000000009</v>
      </c>
      <c r="N41" s="7">
        <f>'Single Exponen'!$M$53</f>
        <v>8483.9501377995821</v>
      </c>
      <c r="O41" s="7">
        <f>'Double Exponen'!$M$53</f>
        <v>12139.033193925996</v>
      </c>
      <c r="P41" s="7">
        <f>'triple exponen'!$M$53</f>
        <v>12180.981638279707</v>
      </c>
      <c r="Q41" s="7">
        <f>'Konstanta a triple'!$M$53</f>
        <v>1215.7324699004603</v>
      </c>
      <c r="R41" s="7">
        <f>'Konstanta b triple'!$M$53</f>
        <v>-244264.12229384098</v>
      </c>
      <c r="S41" s="7">
        <f>'Konstanta c triple'!$M$53</f>
        <v>-292663.90355358907</v>
      </c>
      <c r="T41" s="7">
        <f>'Peramalan triple'!$M$53</f>
        <v>-354584.28533022921</v>
      </c>
      <c r="U41" s="7">
        <f t="shared" si="8"/>
        <v>4320.4677396076095</v>
      </c>
      <c r="V41" s="7">
        <f t="shared" si="9"/>
        <v>4320.4677396076095</v>
      </c>
    </row>
    <row r="42" spans="12:22" x14ac:dyDescent="0.3">
      <c r="U42" s="7">
        <f>(SUM(U31:U41)/12)</f>
        <v>-8168.8209023634336</v>
      </c>
      <c r="V42" s="7">
        <f>(SUM(V31:V41)/12)</f>
        <v>8946.8080644961719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59EE4-FDA4-436A-A734-13808F7C7AA5}">
  <dimension ref="A1:O12"/>
  <sheetViews>
    <sheetView workbookViewId="0">
      <selection activeCell="A10" sqref="A10"/>
    </sheetView>
  </sheetViews>
  <sheetFormatPr defaultColWidth="8.88671875" defaultRowHeight="14.4" x14ac:dyDescent="0.3"/>
  <cols>
    <col min="1" max="1" width="14.109375" style="1" bestFit="1" customWidth="1"/>
    <col min="2" max="10" width="10" style="1" bestFit="1" customWidth="1"/>
    <col min="11" max="11" width="11" style="1" bestFit="1" customWidth="1"/>
    <col min="12" max="13" width="10" style="1" bestFit="1" customWidth="1"/>
    <col min="14" max="14" width="12" style="1" bestFit="1" customWidth="1"/>
    <col min="15" max="16384" width="8.88671875" style="1"/>
  </cols>
  <sheetData>
    <row r="1" spans="1:15" x14ac:dyDescent="0.3">
      <c r="A1" s="2" t="str">
        <f>kg!A1</f>
        <v>Month</v>
      </c>
      <c r="B1" s="30" t="str">
        <f>kg!B1</f>
        <v>Januari</v>
      </c>
      <c r="C1" s="30" t="str">
        <f>kg!C1</f>
        <v>Februari</v>
      </c>
      <c r="D1" s="30" t="str">
        <f>kg!D1</f>
        <v>Maret</v>
      </c>
      <c r="E1" s="30" t="str">
        <f>kg!E1</f>
        <v>April</v>
      </c>
      <c r="F1" s="30" t="str">
        <f>kg!F1</f>
        <v>Mei</v>
      </c>
      <c r="G1" s="30" t="str">
        <f>kg!G1</f>
        <v>Juni</v>
      </c>
      <c r="H1" s="30" t="str">
        <f>kg!H1</f>
        <v>Juli</v>
      </c>
      <c r="I1" s="30" t="str">
        <f>kg!I1</f>
        <v>Agustus</v>
      </c>
      <c r="J1" s="30" t="str">
        <f>kg!J1</f>
        <v>September</v>
      </c>
      <c r="K1" s="30" t="str">
        <f>kg!K1</f>
        <v>Oktober</v>
      </c>
      <c r="L1" s="30" t="str">
        <f>kg!L1</f>
        <v>November</v>
      </c>
      <c r="M1" s="30" t="str">
        <f>kg!M1</f>
        <v>Desember</v>
      </c>
      <c r="N1" s="30" t="str">
        <f>kg!N1</f>
        <v>Total</v>
      </c>
    </row>
    <row r="2" spans="1:15" x14ac:dyDescent="0.3">
      <c r="A2" s="13" t="str">
        <f>kg!A2</f>
        <v>Product Name</v>
      </c>
      <c r="B2" s="30"/>
      <c r="C2" s="30">
        <f>kg!C2</f>
        <v>0</v>
      </c>
      <c r="D2" s="30">
        <f>kg!D2</f>
        <v>0</v>
      </c>
      <c r="E2" s="30">
        <f>kg!E2</f>
        <v>0</v>
      </c>
      <c r="F2" s="30">
        <f>kg!F2</f>
        <v>0</v>
      </c>
      <c r="G2" s="30">
        <f>kg!G2</f>
        <v>0</v>
      </c>
      <c r="H2" s="30">
        <f>kg!H2</f>
        <v>0</v>
      </c>
      <c r="I2" s="30">
        <f>kg!I2</f>
        <v>0</v>
      </c>
      <c r="J2" s="30">
        <f>kg!J2</f>
        <v>0</v>
      </c>
      <c r="K2" s="30">
        <f>kg!K2</f>
        <v>0</v>
      </c>
      <c r="L2" s="30">
        <f>kg!L2</f>
        <v>0</v>
      </c>
      <c r="M2" s="30">
        <f>kg!M2</f>
        <v>0</v>
      </c>
      <c r="N2" s="30">
        <f>kg!N2</f>
        <v>0</v>
      </c>
    </row>
    <row r="3" spans="1:15" x14ac:dyDescent="0.3">
      <c r="A3" s="3" t="str">
        <f>kg!A3</f>
        <v>Oil A 20 LT</v>
      </c>
      <c r="B3" s="7">
        <f>Peramalan!O2</f>
        <v>12413.16984744482</v>
      </c>
      <c r="C3" s="7">
        <f>Peramalan!P2</f>
        <v>12416.310207672721</v>
      </c>
      <c r="D3" s="7">
        <f>Peramalan!Q2</f>
        <v>12419.45056790062</v>
      </c>
      <c r="E3" s="7">
        <f>Peramalan!R2</f>
        <v>12422.59092812852</v>
      </c>
      <c r="F3" s="7">
        <f>Peramalan!S2</f>
        <v>12425.731288356421</v>
      </c>
      <c r="G3" s="7">
        <f>Peramalan!T2</f>
        <v>12428.871648584322</v>
      </c>
      <c r="H3" s="7">
        <f>Peramalan!U2</f>
        <v>12432.01200881222</v>
      </c>
      <c r="I3" s="7">
        <f>Peramalan!V2</f>
        <v>12435.152369040121</v>
      </c>
      <c r="J3" s="7">
        <f>Peramalan!W2</f>
        <v>12438.292729268022</v>
      </c>
      <c r="K3" s="7">
        <f>Peramalan!X2</f>
        <v>12441.433089495922</v>
      </c>
      <c r="L3" s="7">
        <f>Peramalan!Y2</f>
        <v>12444.573449723823</v>
      </c>
      <c r="M3" s="7">
        <f>Peramalan!Z2</f>
        <v>12447.713809951721</v>
      </c>
      <c r="N3" s="7">
        <f>Peramalan!AA2</f>
        <v>149165.30194437929</v>
      </c>
    </row>
    <row r="4" spans="1:15" x14ac:dyDescent="0.3">
      <c r="A4" s="3" t="str">
        <f>kg!A4</f>
        <v>Oil A 200 LT</v>
      </c>
      <c r="B4" s="7">
        <f>Peramalan!O3</f>
        <v>455328.54903143825</v>
      </c>
      <c r="C4" s="7">
        <f>Peramalan!P3</f>
        <v>455679.72543501772</v>
      </c>
      <c r="D4" s="7">
        <f>Peramalan!Q3</f>
        <v>456030.9018385972</v>
      </c>
      <c r="E4" s="7">
        <f>Peramalan!R3</f>
        <v>456382.07824217668</v>
      </c>
      <c r="F4" s="7">
        <f>Peramalan!S3</f>
        <v>456733.2546457561</v>
      </c>
      <c r="G4" s="7">
        <f>Peramalan!T3</f>
        <v>457084.43104933557</v>
      </c>
      <c r="H4" s="7">
        <f>Peramalan!U3</f>
        <v>457435.60745291505</v>
      </c>
      <c r="I4" s="7">
        <f>Peramalan!V3</f>
        <v>457786.78385649453</v>
      </c>
      <c r="J4" s="7">
        <f>Peramalan!W3</f>
        <v>458137.960260074</v>
      </c>
      <c r="K4" s="7">
        <f>Peramalan!X3</f>
        <v>458489.13666365348</v>
      </c>
      <c r="L4" s="7">
        <f>Peramalan!Y3</f>
        <v>458840.31306723296</v>
      </c>
      <c r="M4" s="7">
        <f>Peramalan!Z3</f>
        <v>459191.48947081243</v>
      </c>
      <c r="N4" s="7">
        <f>Peramalan!AA3</f>
        <v>5487120.2310135048</v>
      </c>
    </row>
    <row r="5" spans="1:15" x14ac:dyDescent="0.3">
      <c r="A5" s="3" t="str">
        <f>kg!A5</f>
        <v>Oil A 1000 LT</v>
      </c>
      <c r="B5" s="7">
        <f>Peramalan!O4</f>
        <v>36970.354961958743</v>
      </c>
      <c r="C5" s="7">
        <f>Peramalan!P4</f>
        <v>37377.313222144869</v>
      </c>
      <c r="D5" s="7">
        <f>Peramalan!Q4</f>
        <v>37784.271482331002</v>
      </c>
      <c r="E5" s="7">
        <f>Peramalan!R4</f>
        <v>38191.229742517135</v>
      </c>
      <c r="F5" s="7">
        <f>Peramalan!S4</f>
        <v>38598.188002703268</v>
      </c>
      <c r="G5" s="7">
        <f>Peramalan!T4</f>
        <v>39005.146262889393</v>
      </c>
      <c r="H5" s="7">
        <f>Peramalan!U4</f>
        <v>39412.104523075526</v>
      </c>
      <c r="I5" s="7">
        <f>Peramalan!V4</f>
        <v>39819.062783261659</v>
      </c>
      <c r="J5" s="7">
        <f>Peramalan!W4</f>
        <v>40226.021043447792</v>
      </c>
      <c r="K5" s="7">
        <f>Peramalan!X4</f>
        <v>40632.979303633918</v>
      </c>
      <c r="L5" s="7">
        <f>Peramalan!Y4</f>
        <v>41039.937563820051</v>
      </c>
      <c r="M5" s="7">
        <f>Peramalan!Z4</f>
        <v>41446.895824006184</v>
      </c>
      <c r="N5" s="7">
        <f>Peramalan!AA4</f>
        <v>470503.50471578952</v>
      </c>
    </row>
    <row r="6" spans="1:15" x14ac:dyDescent="0.3">
      <c r="A6" s="3" t="str">
        <f>kg!A6</f>
        <v>Oil B 20 LT</v>
      </c>
      <c r="B6" s="7">
        <f>Peramalan!O5</f>
        <v>16168.536909739732</v>
      </c>
      <c r="C6" s="7">
        <f>Peramalan!P5</f>
        <v>16575.999729538547</v>
      </c>
      <c r="D6" s="7">
        <f>Peramalan!Q5</f>
        <v>16983.462549337361</v>
      </c>
      <c r="E6" s="7">
        <f>Peramalan!R5</f>
        <v>17390.925369136174</v>
      </c>
      <c r="F6" s="7">
        <f>Peramalan!S5</f>
        <v>17798.388188934987</v>
      </c>
      <c r="G6" s="7">
        <f>Peramalan!T5</f>
        <v>18205.8510087338</v>
      </c>
      <c r="H6" s="7">
        <f>Peramalan!U5</f>
        <v>18613.313828532617</v>
      </c>
      <c r="I6" s="7">
        <f>Peramalan!V5</f>
        <v>19020.77664833143</v>
      </c>
      <c r="J6" s="7">
        <f>Peramalan!W5</f>
        <v>19428.239468130243</v>
      </c>
      <c r="K6" s="7">
        <f>Peramalan!X5</f>
        <v>19835.702287929056</v>
      </c>
      <c r="L6" s="7">
        <f>Peramalan!Y5</f>
        <v>20243.165107727873</v>
      </c>
      <c r="M6" s="7">
        <f>Peramalan!Z5</f>
        <v>20650.627927526686</v>
      </c>
      <c r="N6" s="7">
        <f>Peramalan!AA5</f>
        <v>220914.98902359849</v>
      </c>
    </row>
    <row r="7" spans="1:15" x14ac:dyDescent="0.3">
      <c r="A7" s="3" t="str">
        <f>kg!A7</f>
        <v>Oil B 200 LT</v>
      </c>
      <c r="B7" s="7">
        <f>Peramalan!O6</f>
        <v>40922.3530017046</v>
      </c>
      <c r="C7" s="7">
        <f>Peramalan!P6</f>
        <v>42488.525262482457</v>
      </c>
      <c r="D7" s="7">
        <f>Peramalan!Q6</f>
        <v>44054.697523260322</v>
      </c>
      <c r="E7" s="7">
        <f>Peramalan!R6</f>
        <v>45620.869784038179</v>
      </c>
      <c r="F7" s="7">
        <f>Peramalan!S6</f>
        <v>47187.042044816044</v>
      </c>
      <c r="G7" s="7">
        <f>Peramalan!T6</f>
        <v>48753.214305593909</v>
      </c>
      <c r="H7" s="7">
        <f>Peramalan!U6</f>
        <v>50319.386566371766</v>
      </c>
      <c r="I7" s="7">
        <f>Peramalan!V6</f>
        <v>51885.558827149631</v>
      </c>
      <c r="J7" s="7">
        <f>Peramalan!W6</f>
        <v>53451.731087927488</v>
      </c>
      <c r="K7" s="7">
        <f>Peramalan!X6</f>
        <v>55017.903348705353</v>
      </c>
      <c r="L7" s="7">
        <f>Peramalan!Y6</f>
        <v>56584.075609483218</v>
      </c>
      <c r="M7" s="7">
        <f>Peramalan!Z6</f>
        <v>58150.247870261075</v>
      </c>
      <c r="N7" s="7">
        <f>Peramalan!AA6</f>
        <v>594435.60523179395</v>
      </c>
    </row>
    <row r="8" spans="1:15" x14ac:dyDescent="0.3">
      <c r="A8" s="3" t="str">
        <f>kg!A8</f>
        <v>TOTAL</v>
      </c>
      <c r="B8" s="7">
        <f t="shared" ref="B8:N8" si="0">SUM(B3:B7)</f>
        <v>561802.96375228604</v>
      </c>
      <c r="C8" s="7">
        <f t="shared" si="0"/>
        <v>564537.87385685625</v>
      </c>
      <c r="D8" s="7">
        <f t="shared" si="0"/>
        <v>567272.78396142647</v>
      </c>
      <c r="E8" s="7">
        <f t="shared" si="0"/>
        <v>570007.69406599668</v>
      </c>
      <c r="F8" s="7">
        <f t="shared" si="0"/>
        <v>572742.60417056677</v>
      </c>
      <c r="G8" s="7">
        <f t="shared" si="0"/>
        <v>575477.51427513699</v>
      </c>
      <c r="H8" s="7">
        <f t="shared" si="0"/>
        <v>578212.4243797072</v>
      </c>
      <c r="I8" s="7">
        <f t="shared" si="0"/>
        <v>580947.33448427741</v>
      </c>
      <c r="J8" s="7">
        <f t="shared" si="0"/>
        <v>583682.2445888475</v>
      </c>
      <c r="K8" s="7">
        <f t="shared" si="0"/>
        <v>586417.15469341772</v>
      </c>
      <c r="L8" s="7">
        <f t="shared" si="0"/>
        <v>589152.06479798793</v>
      </c>
      <c r="M8" s="7">
        <f t="shared" si="0"/>
        <v>591886.97490255814</v>
      </c>
      <c r="N8" s="7">
        <f t="shared" si="0"/>
        <v>6922139.631929066</v>
      </c>
    </row>
    <row r="9" spans="1:15" x14ac:dyDescent="0.3">
      <c r="A9" s="1" t="s">
        <v>58</v>
      </c>
      <c r="B9" s="1">
        <v>14040</v>
      </c>
      <c r="C9" s="1">
        <v>14820</v>
      </c>
      <c r="D9" s="1">
        <v>17160</v>
      </c>
      <c r="E9" s="1">
        <v>15600</v>
      </c>
      <c r="F9" s="1">
        <v>11700</v>
      </c>
      <c r="G9" s="1">
        <v>15600</v>
      </c>
      <c r="H9" s="1">
        <v>16380</v>
      </c>
      <c r="I9" s="1">
        <v>15600</v>
      </c>
      <c r="J9" s="1">
        <v>17160</v>
      </c>
      <c r="K9" s="1">
        <v>15600</v>
      </c>
      <c r="L9" s="1">
        <v>17160</v>
      </c>
      <c r="M9" s="1">
        <v>17940</v>
      </c>
      <c r="N9" s="1">
        <f>SUM(B9:M9)</f>
        <v>188760</v>
      </c>
      <c r="O9" s="1">
        <f>N9/60</f>
        <v>3146</v>
      </c>
    </row>
    <row r="10" spans="1:15" x14ac:dyDescent="0.3">
      <c r="A10" s="1" t="s">
        <v>59</v>
      </c>
      <c r="B10" s="1">
        <v>17101</v>
      </c>
      <c r="C10" s="1">
        <v>15895</v>
      </c>
      <c r="D10" s="1">
        <v>13721</v>
      </c>
      <c r="E10" s="1">
        <v>15446</v>
      </c>
      <c r="F10" s="1">
        <v>19512</v>
      </c>
      <c r="G10" s="1">
        <v>15777</v>
      </c>
      <c r="H10" s="1">
        <v>15163</v>
      </c>
      <c r="I10" s="1">
        <v>16108</v>
      </c>
      <c r="J10" s="1">
        <v>14714</v>
      </c>
      <c r="K10" s="1">
        <v>16439</v>
      </c>
      <c r="L10" s="1">
        <v>15045</v>
      </c>
      <c r="M10" s="1">
        <v>14430</v>
      </c>
      <c r="N10" s="1">
        <f t="shared" ref="N10:N11" si="1">SUM(B10:M10)</f>
        <v>189351</v>
      </c>
      <c r="O10" s="28">
        <f>N10/60</f>
        <v>3155.85</v>
      </c>
    </row>
    <row r="11" spans="1:15" x14ac:dyDescent="0.3">
      <c r="A11" s="1" t="s">
        <v>60</v>
      </c>
      <c r="B11" s="1">
        <f>+B9-B10</f>
        <v>-3061</v>
      </c>
      <c r="C11" s="1">
        <f t="shared" ref="C11:M11" si="2">+C9-C10</f>
        <v>-1075</v>
      </c>
      <c r="D11" s="1">
        <f t="shared" si="2"/>
        <v>3439</v>
      </c>
      <c r="E11" s="1">
        <f t="shared" si="2"/>
        <v>154</v>
      </c>
      <c r="F11" s="1">
        <f t="shared" si="2"/>
        <v>-7812</v>
      </c>
      <c r="G11" s="1">
        <f t="shared" si="2"/>
        <v>-177</v>
      </c>
      <c r="H11" s="1">
        <f t="shared" si="2"/>
        <v>1217</v>
      </c>
      <c r="I11" s="1">
        <f t="shared" si="2"/>
        <v>-508</v>
      </c>
      <c r="J11" s="1">
        <f t="shared" si="2"/>
        <v>2446</v>
      </c>
      <c r="K11" s="1">
        <f t="shared" si="2"/>
        <v>-839</v>
      </c>
      <c r="L11" s="1">
        <f t="shared" si="2"/>
        <v>2115</v>
      </c>
      <c r="M11" s="1">
        <f t="shared" si="2"/>
        <v>3510</v>
      </c>
      <c r="N11" s="1">
        <f t="shared" si="1"/>
        <v>-591</v>
      </c>
      <c r="O11" s="28">
        <f>N11/60</f>
        <v>-9.85</v>
      </c>
    </row>
    <row r="12" spans="1:15" x14ac:dyDescent="0.3">
      <c r="O12" s="28">
        <f>ABS(N11/60)</f>
        <v>9.85</v>
      </c>
    </row>
  </sheetData>
  <mergeCells count="13">
    <mergeCell ref="G1:G2"/>
    <mergeCell ref="B1:B2"/>
    <mergeCell ref="C1:C2"/>
    <mergeCell ref="D1:D2"/>
    <mergeCell ref="E1:E2"/>
    <mergeCell ref="F1:F2"/>
    <mergeCell ref="N1:N2"/>
    <mergeCell ref="H1:H2"/>
    <mergeCell ref="I1:I2"/>
    <mergeCell ref="J1:J2"/>
    <mergeCell ref="K1:K2"/>
    <mergeCell ref="L1:L2"/>
    <mergeCell ref="M1: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4EC56-0185-433D-85F5-3C90E2B348FB}">
  <dimension ref="A1:L7"/>
  <sheetViews>
    <sheetView workbookViewId="0">
      <selection activeCell="B3" sqref="B3"/>
    </sheetView>
  </sheetViews>
  <sheetFormatPr defaultColWidth="8.88671875" defaultRowHeight="14.4" x14ac:dyDescent="0.3"/>
  <cols>
    <col min="1" max="1" width="12.88671875" style="1" bestFit="1" customWidth="1"/>
    <col min="2" max="2" width="29" style="1" bestFit="1" customWidth="1"/>
    <col min="3" max="3" width="14.109375" style="1" bestFit="1" customWidth="1"/>
    <col min="4" max="4" width="9.44140625" style="1" bestFit="1" customWidth="1"/>
    <col min="5" max="5" width="8.44140625" style="1" bestFit="1" customWidth="1"/>
    <col min="6" max="6" width="7.44140625" style="1" bestFit="1" customWidth="1"/>
    <col min="7" max="7" width="4" style="1" bestFit="1" customWidth="1"/>
    <col min="8" max="8" width="12" style="1" bestFit="1" customWidth="1"/>
    <col min="9" max="11" width="8" style="1" bestFit="1" customWidth="1"/>
    <col min="12" max="14" width="12" style="1" bestFit="1" customWidth="1"/>
    <col min="15" max="15" width="6" style="1" bestFit="1" customWidth="1"/>
    <col min="16" max="16384" width="8.88671875" style="1"/>
  </cols>
  <sheetData>
    <row r="1" spans="1:12" x14ac:dyDescent="0.3">
      <c r="A1" s="33" t="s">
        <v>31</v>
      </c>
      <c r="B1" s="35" t="s">
        <v>85</v>
      </c>
    </row>
    <row r="2" spans="1:12" x14ac:dyDescent="0.3">
      <c r="A2" s="34"/>
      <c r="B2" s="36"/>
      <c r="D2" s="1" t="s">
        <v>33</v>
      </c>
      <c r="E2" s="1" t="s">
        <v>34</v>
      </c>
      <c r="F2" s="1" t="s">
        <v>35</v>
      </c>
    </row>
    <row r="3" spans="1:12" x14ac:dyDescent="0.3">
      <c r="A3" s="14" t="str">
        <f>kg!A3</f>
        <v>Oil A 20 LT</v>
      </c>
      <c r="B3" s="15">
        <f>325/6.5</f>
        <v>50</v>
      </c>
      <c r="C3" s="16" t="str">
        <f>kg!A3</f>
        <v>Oil A 20 LT</v>
      </c>
      <c r="D3" s="6">
        <f>17.7*(325*2)</f>
        <v>11505</v>
      </c>
      <c r="E3" s="6">
        <f>D3/$H$3</f>
        <v>885</v>
      </c>
      <c r="F3" s="6">
        <f>$I$3/E3</f>
        <v>6.7796610169491525E-2</v>
      </c>
      <c r="H3" s="1">
        <v>13</v>
      </c>
      <c r="I3" s="1">
        <v>60</v>
      </c>
      <c r="L3" s="17"/>
    </row>
    <row r="4" spans="1:12" x14ac:dyDescent="0.3">
      <c r="A4" s="14" t="str">
        <f>kg!A4</f>
        <v>Oil A 200 LT</v>
      </c>
      <c r="B4" s="15">
        <f>250/6.5</f>
        <v>38.46153846153846</v>
      </c>
      <c r="C4" s="16" t="str">
        <f>kg!A4</f>
        <v>Oil A 200 LT</v>
      </c>
      <c r="D4" s="6">
        <f>173.5*(250*2)</f>
        <v>86750</v>
      </c>
      <c r="E4" s="6">
        <f t="shared" ref="E4:E7" si="0">D4/$H$3</f>
        <v>6673.0769230769229</v>
      </c>
      <c r="F4" s="6">
        <f t="shared" ref="F4:F7" si="1">$I$3/E4</f>
        <v>8.9913544668587895E-3</v>
      </c>
      <c r="L4" s="17"/>
    </row>
    <row r="5" spans="1:12" x14ac:dyDescent="0.3">
      <c r="A5" s="14" t="str">
        <f>kg!A5</f>
        <v>Oil A 1000 LT</v>
      </c>
      <c r="B5" s="15">
        <f>65/6.5</f>
        <v>10</v>
      </c>
      <c r="C5" s="16" t="str">
        <f>kg!A5</f>
        <v>Oil A 1000 LT</v>
      </c>
      <c r="D5" s="6">
        <f>850*(65*2)</f>
        <v>110500</v>
      </c>
      <c r="E5" s="6">
        <f t="shared" si="0"/>
        <v>8500</v>
      </c>
      <c r="F5" s="6">
        <f t="shared" si="1"/>
        <v>7.058823529411765E-3</v>
      </c>
    </row>
    <row r="6" spans="1:12" x14ac:dyDescent="0.3">
      <c r="A6" s="14" t="str">
        <f>kg!A6</f>
        <v>Oil B 20 LT</v>
      </c>
      <c r="B6" s="15">
        <f t="shared" ref="B6" si="2">325/6.5</f>
        <v>50</v>
      </c>
      <c r="C6" s="16" t="str">
        <f>kg!A6</f>
        <v>Oil B 20 LT</v>
      </c>
      <c r="D6" s="6">
        <f>D3</f>
        <v>11505</v>
      </c>
      <c r="E6" s="6">
        <f t="shared" si="0"/>
        <v>885</v>
      </c>
      <c r="F6" s="6">
        <f t="shared" si="1"/>
        <v>6.7796610169491525E-2</v>
      </c>
    </row>
    <row r="7" spans="1:12" x14ac:dyDescent="0.3">
      <c r="A7" s="14" t="str">
        <f>kg!A7</f>
        <v>Oil B 200 LT</v>
      </c>
      <c r="B7" s="15">
        <f>250/6.5</f>
        <v>38.46153846153846</v>
      </c>
      <c r="C7" s="16" t="str">
        <f>kg!A7</f>
        <v>Oil B 200 LT</v>
      </c>
      <c r="D7" s="6">
        <f>D4</f>
        <v>86750</v>
      </c>
      <c r="E7" s="6">
        <f t="shared" si="0"/>
        <v>6673.0769230769229</v>
      </c>
      <c r="F7" s="6">
        <f t="shared" si="1"/>
        <v>8.9913544668587895E-3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8EB0A-DEDE-4EC2-8A11-596B1FC451A8}">
  <dimension ref="A1:D15"/>
  <sheetViews>
    <sheetView workbookViewId="0">
      <selection activeCell="B5" sqref="B5"/>
    </sheetView>
  </sheetViews>
  <sheetFormatPr defaultColWidth="8.88671875" defaultRowHeight="14.4" x14ac:dyDescent="0.3"/>
  <cols>
    <col min="1" max="1" width="13.6640625" style="1" bestFit="1" customWidth="1"/>
    <col min="2" max="2" width="10.33203125" style="1" bestFit="1" customWidth="1"/>
    <col min="3" max="3" width="23.6640625" style="1" bestFit="1" customWidth="1"/>
    <col min="4" max="4" width="25.33203125" style="1" bestFit="1" customWidth="1"/>
    <col min="5" max="16384" width="8.88671875" style="1"/>
  </cols>
  <sheetData>
    <row r="1" spans="1:4" x14ac:dyDescent="0.3">
      <c r="A1" s="42" t="s">
        <v>36</v>
      </c>
      <c r="B1" s="42" t="s">
        <v>37</v>
      </c>
      <c r="C1" s="42" t="s">
        <v>38</v>
      </c>
      <c r="D1" s="42" t="s">
        <v>39</v>
      </c>
    </row>
    <row r="2" spans="1:4" x14ac:dyDescent="0.3">
      <c r="A2" s="42"/>
      <c r="B2" s="42"/>
      <c r="C2" s="42"/>
      <c r="D2" s="42"/>
    </row>
    <row r="3" spans="1:4" x14ac:dyDescent="0.3">
      <c r="A3" s="18" t="s">
        <v>40</v>
      </c>
      <c r="B3" s="18">
        <v>18</v>
      </c>
      <c r="C3" s="18">
        <f>(6.5*2)*B3</f>
        <v>234</v>
      </c>
      <c r="D3" s="18">
        <f>+C3*60</f>
        <v>14040</v>
      </c>
    </row>
    <row r="4" spans="1:4" x14ac:dyDescent="0.3">
      <c r="A4" s="18" t="s">
        <v>41</v>
      </c>
      <c r="B4" s="18">
        <v>19</v>
      </c>
      <c r="C4" s="18">
        <f t="shared" ref="C4:C14" si="0">(6.5*2)*B4</f>
        <v>247</v>
      </c>
      <c r="D4" s="18">
        <f t="shared" ref="D4:D14" si="1">+C4*60</f>
        <v>14820</v>
      </c>
    </row>
    <row r="5" spans="1:4" x14ac:dyDescent="0.3">
      <c r="A5" s="18" t="s">
        <v>42</v>
      </c>
      <c r="B5" s="18">
        <v>22</v>
      </c>
      <c r="C5" s="18">
        <f t="shared" si="0"/>
        <v>286</v>
      </c>
      <c r="D5" s="18">
        <f t="shared" si="1"/>
        <v>17160</v>
      </c>
    </row>
    <row r="6" spans="1:4" x14ac:dyDescent="0.3">
      <c r="A6" s="19">
        <v>44287</v>
      </c>
      <c r="B6" s="18">
        <v>20</v>
      </c>
      <c r="C6" s="18">
        <f t="shared" si="0"/>
        <v>260</v>
      </c>
      <c r="D6" s="18">
        <f t="shared" si="1"/>
        <v>15600</v>
      </c>
    </row>
    <row r="7" spans="1:4" x14ac:dyDescent="0.3">
      <c r="A7" s="18" t="s">
        <v>43</v>
      </c>
      <c r="B7" s="18">
        <v>15</v>
      </c>
      <c r="C7" s="18">
        <f t="shared" si="0"/>
        <v>195</v>
      </c>
      <c r="D7" s="18">
        <f t="shared" si="1"/>
        <v>11700</v>
      </c>
    </row>
    <row r="8" spans="1:4" x14ac:dyDescent="0.3">
      <c r="A8" s="18" t="s">
        <v>44</v>
      </c>
      <c r="B8" s="18">
        <v>20</v>
      </c>
      <c r="C8" s="18">
        <f t="shared" si="0"/>
        <v>260</v>
      </c>
      <c r="D8" s="18">
        <f t="shared" si="1"/>
        <v>15600</v>
      </c>
    </row>
    <row r="9" spans="1:4" x14ac:dyDescent="0.3">
      <c r="A9" s="18" t="s">
        <v>45</v>
      </c>
      <c r="B9" s="18">
        <v>21</v>
      </c>
      <c r="C9" s="18">
        <f t="shared" si="0"/>
        <v>273</v>
      </c>
      <c r="D9" s="18">
        <f t="shared" si="1"/>
        <v>16380</v>
      </c>
    </row>
    <row r="10" spans="1:4" x14ac:dyDescent="0.3">
      <c r="A10" s="18" t="s">
        <v>46</v>
      </c>
      <c r="B10" s="18">
        <v>20</v>
      </c>
      <c r="C10" s="18">
        <f t="shared" si="0"/>
        <v>260</v>
      </c>
      <c r="D10" s="18">
        <f t="shared" si="1"/>
        <v>15600</v>
      </c>
    </row>
    <row r="11" spans="1:4" x14ac:dyDescent="0.3">
      <c r="A11" s="19">
        <v>44440</v>
      </c>
      <c r="B11" s="18">
        <v>22</v>
      </c>
      <c r="C11" s="18">
        <f t="shared" si="0"/>
        <v>286</v>
      </c>
      <c r="D11" s="18">
        <f t="shared" si="1"/>
        <v>17160</v>
      </c>
    </row>
    <row r="12" spans="1:4" x14ac:dyDescent="0.3">
      <c r="A12" s="18" t="s">
        <v>47</v>
      </c>
      <c r="B12" s="18">
        <v>20</v>
      </c>
      <c r="C12" s="18">
        <f t="shared" si="0"/>
        <v>260</v>
      </c>
      <c r="D12" s="18">
        <f t="shared" si="1"/>
        <v>15600</v>
      </c>
    </row>
    <row r="13" spans="1:4" x14ac:dyDescent="0.3">
      <c r="A13" s="19">
        <v>44501</v>
      </c>
      <c r="B13" s="18">
        <v>22</v>
      </c>
      <c r="C13" s="18">
        <f t="shared" si="0"/>
        <v>286</v>
      </c>
      <c r="D13" s="18">
        <f t="shared" si="1"/>
        <v>17160</v>
      </c>
    </row>
    <row r="14" spans="1:4" x14ac:dyDescent="0.3">
      <c r="A14" s="18" t="s">
        <v>48</v>
      </c>
      <c r="B14" s="18">
        <v>23</v>
      </c>
      <c r="C14" s="18">
        <f t="shared" si="0"/>
        <v>299</v>
      </c>
      <c r="D14" s="18">
        <f t="shared" si="1"/>
        <v>17940</v>
      </c>
    </row>
    <row r="15" spans="1:4" x14ac:dyDescent="0.3">
      <c r="A15" s="20"/>
      <c r="B15" s="21">
        <f>SUM(B3:B14)/12</f>
        <v>20.166666666666668</v>
      </c>
      <c r="C15" s="20"/>
      <c r="D15" s="20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4B27D-1BDD-4C1B-85CB-E979802AEE0F}">
  <dimension ref="A1:Y54"/>
  <sheetViews>
    <sheetView workbookViewId="0">
      <selection activeCell="N22" sqref="N22"/>
    </sheetView>
  </sheetViews>
  <sheetFormatPr defaultColWidth="8.88671875" defaultRowHeight="14.4" x14ac:dyDescent="0.3"/>
  <cols>
    <col min="1" max="1" width="14.109375" style="6" bestFit="1" customWidth="1"/>
    <col min="2" max="25" width="9.44140625" style="6" bestFit="1" customWidth="1"/>
    <col min="26" max="16384" width="8.88671875" style="6"/>
  </cols>
  <sheetData>
    <row r="1" spans="1:18" x14ac:dyDescent="0.3">
      <c r="A1" s="7">
        <v>0.1</v>
      </c>
      <c r="B1" s="7" t="s">
        <v>16</v>
      </c>
      <c r="C1" s="7" t="s">
        <v>17</v>
      </c>
      <c r="D1" s="7" t="s">
        <v>18</v>
      </c>
      <c r="E1" s="7" t="s">
        <v>19</v>
      </c>
      <c r="F1" s="7" t="s">
        <v>20</v>
      </c>
      <c r="G1" s="7" t="s">
        <v>21</v>
      </c>
      <c r="H1" s="7" t="s">
        <v>22</v>
      </c>
      <c r="I1" s="7" t="s">
        <v>24</v>
      </c>
      <c r="J1" s="7" t="s">
        <v>23</v>
      </c>
      <c r="K1" s="7" t="s">
        <v>25</v>
      </c>
      <c r="L1" s="7" t="s">
        <v>27</v>
      </c>
      <c r="M1" s="7" t="s">
        <v>26</v>
      </c>
      <c r="Q1" s="6">
        <v>0.1</v>
      </c>
      <c r="R1" s="6">
        <f>1-Q1</f>
        <v>0.9</v>
      </c>
    </row>
    <row r="2" spans="1:18" x14ac:dyDescent="0.3">
      <c r="A2" s="7" t="str">
        <f>kg!A3</f>
        <v>Oil A 20 LT</v>
      </c>
      <c r="B2" s="7">
        <f>kg!B3</f>
        <v>12588.09</v>
      </c>
      <c r="C2" s="7">
        <f>($Q$1*kg!C3)+($R$1*B2)</f>
        <v>11808.256000000001</v>
      </c>
      <c r="D2" s="7">
        <f>($Q$1*kg!D3)+($R$1*C2)</f>
        <v>12730.014400000002</v>
      </c>
      <c r="E2" s="7">
        <f>($Q$1*kg!E3)+($R$1*D2)</f>
        <v>12567.109960000002</v>
      </c>
      <c r="F2" s="7">
        <f>($Q$1*kg!F3)+($R$1*E2)</f>
        <v>12219.964964000003</v>
      </c>
      <c r="G2" s="7">
        <f>($Q$1*kg!G3)+($R$1*F2)</f>
        <v>11816.504467600003</v>
      </c>
      <c r="H2" s="7">
        <f>($Q$1*kg!H3)+($R$1*G2)</f>
        <v>12461.394020840004</v>
      </c>
      <c r="I2" s="7">
        <f>($Q$1*kg!I3)+($R$1*H2)</f>
        <v>12319.722618756005</v>
      </c>
      <c r="J2" s="7">
        <f>($Q$1*kg!J3)+($R$1*I2)</f>
        <v>12176.705356880404</v>
      </c>
      <c r="K2" s="7">
        <f>($Q$1*kg!K3)+($R$1*J2)</f>
        <v>11799.668821192365</v>
      </c>
      <c r="L2" s="7">
        <f>($Q$1*kg!L3)+($R$1*K2)</f>
        <v>12434.69693907313</v>
      </c>
      <c r="M2" s="7">
        <f>($Q$1*kg!M3)+($R$1*L2)</f>
        <v>12381.766245165818</v>
      </c>
      <c r="Q2" s="6">
        <f>+Q1+0.1</f>
        <v>0.2</v>
      </c>
      <c r="R2" s="6">
        <f>1-Q2</f>
        <v>0.8</v>
      </c>
    </row>
    <row r="3" spans="1:18" x14ac:dyDescent="0.3">
      <c r="A3" s="7" t="str">
        <f>kg!A4</f>
        <v>Oil A 200 LT</v>
      </c>
      <c r="B3" s="7">
        <f>kg!B4</f>
        <v>459915.78</v>
      </c>
      <c r="C3" s="7">
        <f>($Q$1*kg!C4)+($R$1*B3)</f>
        <v>453646.27800000005</v>
      </c>
      <c r="D3" s="7">
        <f>($Q$1*kg!D4)+($R$1*C3)</f>
        <v>447205.54820000002</v>
      </c>
      <c r="E3" s="7">
        <f>($Q$1*kg!E4)+($R$1*D3)</f>
        <v>453075.40338000003</v>
      </c>
      <c r="F3" s="7">
        <f>($Q$1*kg!F4)+($R$1*E3)</f>
        <v>427875.82104200003</v>
      </c>
      <c r="G3" s="7">
        <f>($Q$1*kg!G4)+($R$1*F3)</f>
        <v>422915.41893780004</v>
      </c>
      <c r="H3" s="7">
        <f>($Q$1*kg!H4)+($R$1*G3)</f>
        <v>426971.74504402006</v>
      </c>
      <c r="I3" s="7">
        <f>($Q$1*kg!I4)+($R$1*H3)</f>
        <v>435460.6565396181</v>
      </c>
      <c r="J3" s="7">
        <f>($Q$1*kg!J4)+($R$1*I3)</f>
        <v>443231.61088565632</v>
      </c>
      <c r="K3" s="7">
        <f>($Q$1*kg!K4)+($R$1*J3)</f>
        <v>451480.79579709074</v>
      </c>
      <c r="L3" s="7">
        <f>($Q$1*kg!L4)+($R$1*K3)</f>
        <v>454403.9122173817</v>
      </c>
      <c r="M3" s="7">
        <f>($Q$1*kg!M4)+($R$1*L3)</f>
        <v>451816.78499564354</v>
      </c>
      <c r="Q3" s="6">
        <f t="shared" ref="Q3:Q9" si="0">+Q2+0.1</f>
        <v>0.30000000000000004</v>
      </c>
      <c r="R3" s="6">
        <f t="shared" ref="R3:R9" si="1">1-Q3</f>
        <v>0.7</v>
      </c>
    </row>
    <row r="4" spans="1:18" x14ac:dyDescent="0.3">
      <c r="A4" s="7" t="str">
        <f>kg!A5</f>
        <v>Oil A 1000 LT</v>
      </c>
      <c r="B4" s="7">
        <f>kg!B5</f>
        <v>23458.3</v>
      </c>
      <c r="C4" s="7">
        <f>($Q$1*kg!C5)+($R$1*B4)</f>
        <v>25334.13</v>
      </c>
      <c r="D4" s="7">
        <f>($Q$1*kg!D5)+($R$1*C4)</f>
        <v>25675.906999999999</v>
      </c>
      <c r="E4" s="7">
        <f>($Q$1*kg!E5)+($R$1*D4)</f>
        <v>27046.006300000001</v>
      </c>
      <c r="F4" s="7">
        <f>($Q$1*kg!F5)+($R$1*E4)</f>
        <v>26727.56567</v>
      </c>
      <c r="G4" s="7">
        <f>($Q$1*kg!G5)+($R$1*F4)</f>
        <v>29776.499103000002</v>
      </c>
      <c r="H4" s="7">
        <f>($Q$1*kg!H5)+($R$1*G4)</f>
        <v>35172.519192700005</v>
      </c>
      <c r="I4" s="7">
        <f>($Q$1*kg!I5)+($R$1*H4)</f>
        <v>37060.587273430006</v>
      </c>
      <c r="J4" s="7">
        <f>($Q$1*kg!J5)+($R$1*I4)</f>
        <v>34480.978546087004</v>
      </c>
      <c r="K4" s="7">
        <f>($Q$1*kg!K5)+($R$1*J4)</f>
        <v>33454.380691478305</v>
      </c>
      <c r="L4" s="7">
        <f>($Q$1*kg!L5)+($R$1*K4)</f>
        <v>32795.002622330474</v>
      </c>
      <c r="M4" s="7">
        <f>($Q$1*kg!M5)+($R$1*L4)</f>
        <v>32900.772360097428</v>
      </c>
      <c r="Q4" s="6">
        <f t="shared" si="0"/>
        <v>0.4</v>
      </c>
      <c r="R4" s="6">
        <f t="shared" si="1"/>
        <v>0.6</v>
      </c>
    </row>
    <row r="5" spans="1:18" x14ac:dyDescent="0.3">
      <c r="A5" s="7" t="str">
        <f>kg!A6</f>
        <v>Oil B 20 LT</v>
      </c>
      <c r="B5" s="7">
        <f>kg!B6</f>
        <v>4698.6499999999996</v>
      </c>
      <c r="C5" s="7">
        <f>($Q$1*kg!C6)+($R$1*B5)</f>
        <v>5093.2849999999999</v>
      </c>
      <c r="D5" s="7">
        <f>($Q$1*kg!D6)+($R$1*C5)</f>
        <v>5382.9014999999999</v>
      </c>
      <c r="E5" s="7">
        <f>($Q$1*kg!E6)+($R$1*D5)</f>
        <v>5498.9673499999999</v>
      </c>
      <c r="F5" s="7">
        <f>($Q$1*kg!F6)+($R$1*E5)</f>
        <v>9518.8306149999989</v>
      </c>
      <c r="G5" s="7">
        <f>($Q$1*kg!G6)+($R$1*F5)</f>
        <v>9261.2495534999998</v>
      </c>
      <c r="H5" s="7">
        <f>($Q$1*kg!H6)+($R$1*G5)</f>
        <v>9197.8955981500003</v>
      </c>
      <c r="I5" s="7">
        <f>($Q$1*kg!I6)+($R$1*H5)</f>
        <v>9997.506038335001</v>
      </c>
      <c r="J5" s="7">
        <f>($Q$1*kg!J6)+($R$1*I5)</f>
        <v>10721.955434501502</v>
      </c>
      <c r="K5" s="7">
        <f>($Q$1*kg!K6)+($R$1*J5)</f>
        <v>13166.479891051351</v>
      </c>
      <c r="L5" s="7">
        <f>($Q$1*kg!L6)+($R$1*K5)</f>
        <v>12504.171901946216</v>
      </c>
      <c r="M5" s="7">
        <f>($Q$1*kg!M6)+($R$1*L5)</f>
        <v>12093.908711751596</v>
      </c>
      <c r="Q5" s="6">
        <f t="shared" si="0"/>
        <v>0.5</v>
      </c>
      <c r="R5" s="6">
        <f t="shared" si="1"/>
        <v>0.5</v>
      </c>
    </row>
    <row r="6" spans="1:18" x14ac:dyDescent="0.3">
      <c r="A6" s="7" t="str">
        <f>kg!A7</f>
        <v>Oil B 200 LT</v>
      </c>
      <c r="B6" s="7">
        <f>kg!B7</f>
        <v>1033.08</v>
      </c>
      <c r="C6" s="7">
        <f>($Q$1*kg!C7)+($R$1*B6)</f>
        <v>3477.5659999999998</v>
      </c>
      <c r="D6" s="7">
        <f>($Q$1*kg!D7)+($R$1*C6)</f>
        <v>5079.5114000000003</v>
      </c>
      <c r="E6" s="7">
        <f>($Q$1*kg!E7)+($R$1*D6)</f>
        <v>6457.1502600000003</v>
      </c>
      <c r="F6" s="7">
        <f>($Q$1*kg!F7)+($R$1*E6)</f>
        <v>8496.5952340000003</v>
      </c>
      <c r="G6" s="7">
        <f>($Q$1*kg!G7)+($R$1*F6)</f>
        <v>9393.7647106000004</v>
      </c>
      <c r="H6" s="7">
        <f>($Q$1*kg!H7)+($R$1*G6)</f>
        <v>13790.212239540002</v>
      </c>
      <c r="I6" s="7">
        <f>($Q$1*kg!I7)+($R$1*H6)</f>
        <v>15608.517015586003</v>
      </c>
      <c r="J6" s="7">
        <f>($Q$1*kg!J7)+($R$1*I6)</f>
        <v>16899.945314027402</v>
      </c>
      <c r="K6" s="7">
        <f>($Q$1*kg!K7)+($R$1*J6)</f>
        <v>20317.776782624664</v>
      </c>
      <c r="L6" s="7">
        <f>($Q$1*kg!L7)+($R$1*K6)</f>
        <v>23300.987104362201</v>
      </c>
      <c r="M6" s="7">
        <f>($Q$1*kg!M7)+($R$1*L6)</f>
        <v>25260.630393925981</v>
      </c>
      <c r="Q6" s="6">
        <f t="shared" si="0"/>
        <v>0.6</v>
      </c>
      <c r="R6" s="6">
        <f t="shared" si="1"/>
        <v>0.4</v>
      </c>
    </row>
    <row r="7" spans="1:18" x14ac:dyDescent="0.3">
      <c r="A7" s="6">
        <v>0.2</v>
      </c>
      <c r="B7" s="6" t="str">
        <f t="shared" ref="B7:M7" si="2">B1</f>
        <v>T1</v>
      </c>
      <c r="C7" s="6" t="str">
        <f t="shared" si="2"/>
        <v>T2</v>
      </c>
      <c r="D7" s="6" t="str">
        <f t="shared" si="2"/>
        <v>T3</v>
      </c>
      <c r="E7" s="6" t="str">
        <f t="shared" si="2"/>
        <v>T4</v>
      </c>
      <c r="F7" s="6" t="str">
        <f t="shared" si="2"/>
        <v>T5</v>
      </c>
      <c r="G7" s="6" t="str">
        <f t="shared" si="2"/>
        <v>T6</v>
      </c>
      <c r="H7" s="6" t="str">
        <f t="shared" si="2"/>
        <v>T7</v>
      </c>
      <c r="I7" s="6" t="str">
        <f t="shared" si="2"/>
        <v>T8</v>
      </c>
      <c r="J7" s="6" t="str">
        <f t="shared" si="2"/>
        <v>T9</v>
      </c>
      <c r="K7" s="6" t="str">
        <f t="shared" si="2"/>
        <v>T10</v>
      </c>
      <c r="L7" s="6" t="str">
        <f t="shared" si="2"/>
        <v>T11</v>
      </c>
      <c r="M7" s="6" t="str">
        <f t="shared" si="2"/>
        <v>T12</v>
      </c>
      <c r="Q7" s="6">
        <f t="shared" si="0"/>
        <v>0.7</v>
      </c>
      <c r="R7" s="6">
        <f t="shared" si="1"/>
        <v>0.30000000000000004</v>
      </c>
    </row>
    <row r="8" spans="1:18" x14ac:dyDescent="0.3">
      <c r="A8" s="6" t="str">
        <f t="shared" ref="A8:B12" si="3">A2</f>
        <v>Oil A 20 LT</v>
      </c>
      <c r="B8" s="6">
        <f t="shared" si="3"/>
        <v>12588.09</v>
      </c>
      <c r="C8" s="6">
        <f>($Q$2*kg!C3)+($R$2*B8)</f>
        <v>11028.422000000002</v>
      </c>
      <c r="D8" s="6">
        <f>($Q$2*kg!D3)+($R$2*C8)</f>
        <v>13027.905600000002</v>
      </c>
      <c r="E8" s="6">
        <f>($Q$2*kg!E3)+($R$2*D8)</f>
        <v>12642.518480000002</v>
      </c>
      <c r="F8" s="6">
        <f>($Q$2*kg!F3)+($R$2*E8)</f>
        <v>11933.146784000002</v>
      </c>
      <c r="G8" s="6">
        <f>($Q$2*kg!G3)+($R$2*F8)</f>
        <v>11183.589427200002</v>
      </c>
      <c r="H8" s="6">
        <f>($Q$2*kg!H3)+($R$2*G8)</f>
        <v>12599.951541760001</v>
      </c>
      <c r="I8" s="6">
        <f>($Q$2*kg!I3)+($R$2*H8)</f>
        <v>12288.897233408001</v>
      </c>
      <c r="J8" s="6">
        <f>($Q$2*kg!J3)+($R$2*I8)</f>
        <v>12009.027786726401</v>
      </c>
      <c r="K8" s="6">
        <f>($Q$2*kg!K3)+($R$2*J8)</f>
        <v>11288.490229381121</v>
      </c>
      <c r="L8" s="6">
        <f>($Q$2*kg!L3)+($R$2*K8)</f>
        <v>12660.782183504896</v>
      </c>
      <c r="M8" s="6">
        <f>($Q$2*kg!M3)+($R$2*L8)</f>
        <v>12509.703746803918</v>
      </c>
      <c r="Q8" s="6">
        <f t="shared" si="0"/>
        <v>0.79999999999999993</v>
      </c>
      <c r="R8" s="6">
        <f t="shared" si="1"/>
        <v>0.20000000000000007</v>
      </c>
    </row>
    <row r="9" spans="1:18" x14ac:dyDescent="0.3">
      <c r="A9" s="6" t="str">
        <f t="shared" si="3"/>
        <v>Oil A 200 LT</v>
      </c>
      <c r="B9" s="6">
        <f t="shared" si="3"/>
        <v>459915.78</v>
      </c>
      <c r="C9" s="6">
        <f>($Q$2*kg!C4)+($R$2*B9)</f>
        <v>447376.77600000007</v>
      </c>
      <c r="D9" s="6">
        <f>($Q$2*kg!D4)+($R$2*C9)</f>
        <v>435749.21680000005</v>
      </c>
      <c r="E9" s="6">
        <f>($Q$2*kg!E4)+($R$2*D9)</f>
        <v>449780.19344000006</v>
      </c>
      <c r="F9" s="6">
        <f>($Q$2*kg!F4)+($R$2*E9)</f>
        <v>400040.07075200009</v>
      </c>
      <c r="G9" s="6">
        <f>($Q$2*kg!G4)+($R$2*F9)</f>
        <v>395686.41660160007</v>
      </c>
      <c r="H9" s="6">
        <f>($Q$2*kg!H4)+($R$2*G9)</f>
        <v>409244.86928128009</v>
      </c>
      <c r="I9" s="6">
        <f>($Q$2*kg!I4)+($R$2*H9)</f>
        <v>429768.06742502411</v>
      </c>
      <c r="J9" s="6">
        <f>($Q$2*kg!J4)+($R$2*I9)</f>
        <v>446448.49394001928</v>
      </c>
      <c r="K9" s="6">
        <f>($Q$2*kg!K4)+($R$2*J9)</f>
        <v>462303.48715201544</v>
      </c>
      <c r="L9" s="6">
        <f>($Q$2*kg!L4)+($R$2*K9)</f>
        <v>465985.18172161235</v>
      </c>
      <c r="M9" s="6">
        <f>($Q$2*kg!M4)+($R$2*L9)</f>
        <v>458494.6733772899</v>
      </c>
      <c r="Q9" s="6">
        <f t="shared" si="0"/>
        <v>0.89999999999999991</v>
      </c>
      <c r="R9" s="6">
        <f t="shared" si="1"/>
        <v>0.10000000000000009</v>
      </c>
    </row>
    <row r="10" spans="1:18" x14ac:dyDescent="0.3">
      <c r="A10" s="6" t="str">
        <f t="shared" si="3"/>
        <v>Oil A 1000 LT</v>
      </c>
      <c r="B10" s="6">
        <f t="shared" si="3"/>
        <v>23458.3</v>
      </c>
      <c r="C10" s="6">
        <f>($Q$2*kg!C5)+($R$2*B10)</f>
        <v>27209.96</v>
      </c>
      <c r="D10" s="6">
        <f>($Q$2*kg!D5)+($R$2*C10)</f>
        <v>27518.348000000002</v>
      </c>
      <c r="E10" s="6">
        <f>($Q$2*kg!E5)+($R$2*D10)</f>
        <v>29890.058400000005</v>
      </c>
      <c r="F10" s="6">
        <f>($Q$2*kg!F5)+($R$2*E10)</f>
        <v>28684.366720000005</v>
      </c>
      <c r="G10" s="6">
        <f>($Q$2*kg!G5)+($R$2*F10)</f>
        <v>34390.873376000003</v>
      </c>
      <c r="H10" s="6">
        <f>($Q$2*kg!H5)+($R$2*G10)</f>
        <v>44260.038700800003</v>
      </c>
      <c r="I10" s="6">
        <f>($Q$2*kg!I5)+($R$2*H10)</f>
        <v>46218.670960640004</v>
      </c>
      <c r="J10" s="6">
        <f>($Q$2*kg!J5)+($R$2*I10)</f>
        <v>39227.836768512003</v>
      </c>
      <c r="K10" s="6">
        <f>($Q$2*kg!K5)+($R$2*J10)</f>
        <v>36225.269414809605</v>
      </c>
      <c r="L10" s="6">
        <f>($Q$2*kg!L5)+($R$2*K10)</f>
        <v>34352.33553184769</v>
      </c>
      <c r="M10" s="6">
        <f>($Q$2*kg!M5)+($R$2*L10)</f>
        <v>34252.408425478156</v>
      </c>
    </row>
    <row r="11" spans="1:18" x14ac:dyDescent="0.3">
      <c r="A11" s="6" t="str">
        <f t="shared" si="3"/>
        <v>Oil B 20 LT</v>
      </c>
      <c r="B11" s="6">
        <f t="shared" si="3"/>
        <v>4698.6499999999996</v>
      </c>
      <c r="C11" s="6">
        <f>($Q$2*kg!C6)+($R$2*B11)</f>
        <v>5487.92</v>
      </c>
      <c r="D11" s="6">
        <f>($Q$2*kg!D6)+($R$2*C11)</f>
        <v>5988.2260000000006</v>
      </c>
      <c r="E11" s="6">
        <f>($Q$2*kg!E6)+($R$2*D11)</f>
        <v>6099.2928000000011</v>
      </c>
      <c r="F11" s="6">
        <f>($Q$2*kg!F6)+($R$2*E11)</f>
        <v>14018.954240000003</v>
      </c>
      <c r="G11" s="6">
        <f>($Q$2*kg!G6)+($R$2*F11)</f>
        <v>12603.767392000002</v>
      </c>
      <c r="H11" s="6">
        <f>($Q$2*kg!H6)+($R$2*G11)</f>
        <v>11808.555913600001</v>
      </c>
      <c r="I11" s="6">
        <f>($Q$2*kg!I6)+($R$2*H11)</f>
        <v>12885.644730880002</v>
      </c>
      <c r="J11" s="6">
        <f>($Q$2*kg!J6)+($R$2*I11)</f>
        <v>13756.915784704002</v>
      </c>
      <c r="K11" s="6">
        <f>($Q$2*kg!K6)+($R$2*J11)</f>
        <v>18038.972627763203</v>
      </c>
      <c r="L11" s="6">
        <f>($Q$2*kg!L6)+($R$2*K11)</f>
        <v>15739.858102210565</v>
      </c>
      <c r="M11" s="6">
        <f>($Q$2*kg!M6)+($R$2*L11)</f>
        <v>14272.194481768453</v>
      </c>
    </row>
    <row r="12" spans="1:18" x14ac:dyDescent="0.3">
      <c r="A12" s="6" t="str">
        <f t="shared" si="3"/>
        <v>Oil B 200 LT</v>
      </c>
      <c r="B12" s="6">
        <f t="shared" si="3"/>
        <v>1033.08</v>
      </c>
      <c r="C12" s="6">
        <f>($Q$2*kg!C7)+($R$2*B12)</f>
        <v>5922.0519999999997</v>
      </c>
      <c r="D12" s="6">
        <f>($Q$2*kg!D7)+($R$2*C12)</f>
        <v>8637.0456000000013</v>
      </c>
      <c r="E12" s="6">
        <f>($Q$2*kg!E7)+($R$2*D12)</f>
        <v>10680.816480000001</v>
      </c>
      <c r="F12" s="6">
        <f>($Q$2*kg!F7)+($R$2*E12)</f>
        <v>13914.973184</v>
      </c>
      <c r="G12" s="6">
        <f>($Q$2*kg!G7)+($R$2*F12)</f>
        <v>14625.6365472</v>
      </c>
      <c r="H12" s="6">
        <f>($Q$2*kg!H7)+($R$2*G12)</f>
        <v>22372.157237760002</v>
      </c>
      <c r="I12" s="6">
        <f>($Q$2*kg!I7)+($R$2*H12)</f>
        <v>24292.377790208004</v>
      </c>
      <c r="J12" s="6">
        <f>($Q$2*kg!J7)+($R$2*I12)</f>
        <v>25138.462232166406</v>
      </c>
      <c r="K12" s="6">
        <f>($Q$2*kg!K7)+($R$2*J12)</f>
        <v>30326.421785733128</v>
      </c>
      <c r="L12" s="6">
        <f>($Q$2*kg!L7)+($R$2*K12)</f>
        <v>34291.113428586505</v>
      </c>
      <c r="M12" s="6">
        <f>($Q$2*kg!M7)+($R$2*L12)</f>
        <v>36012.3747428692</v>
      </c>
    </row>
    <row r="13" spans="1:18" x14ac:dyDescent="0.3">
      <c r="A13" s="6">
        <v>0.3</v>
      </c>
      <c r="B13" s="6" t="str">
        <f t="shared" ref="B13:M13" si="4">B7</f>
        <v>T1</v>
      </c>
      <c r="C13" s="6" t="str">
        <f t="shared" si="4"/>
        <v>T2</v>
      </c>
      <c r="D13" s="6" t="str">
        <f t="shared" si="4"/>
        <v>T3</v>
      </c>
      <c r="E13" s="6" t="str">
        <f t="shared" si="4"/>
        <v>T4</v>
      </c>
      <c r="F13" s="6" t="str">
        <f t="shared" si="4"/>
        <v>T5</v>
      </c>
      <c r="G13" s="6" t="str">
        <f t="shared" si="4"/>
        <v>T6</v>
      </c>
      <c r="H13" s="6" t="str">
        <f t="shared" si="4"/>
        <v>T7</v>
      </c>
      <c r="I13" s="6" t="str">
        <f t="shared" si="4"/>
        <v>T8</v>
      </c>
      <c r="J13" s="6" t="str">
        <f t="shared" si="4"/>
        <v>T9</v>
      </c>
      <c r="K13" s="6" t="str">
        <f t="shared" si="4"/>
        <v>T10</v>
      </c>
      <c r="L13" s="6" t="str">
        <f t="shared" si="4"/>
        <v>T11</v>
      </c>
      <c r="M13" s="6" t="str">
        <f t="shared" si="4"/>
        <v>T12</v>
      </c>
    </row>
    <row r="14" spans="1:18" x14ac:dyDescent="0.3">
      <c r="A14" s="6" t="str">
        <f t="shared" ref="A14:B18" si="5">A8</f>
        <v>Oil A 20 LT</v>
      </c>
      <c r="B14" s="6">
        <f t="shared" si="5"/>
        <v>12588.09</v>
      </c>
      <c r="C14" s="6">
        <f>($Q$3*kg!C3)+($R$3*B14)</f>
        <v>10248.588</v>
      </c>
      <c r="D14" s="6">
        <f>($Q$3*kg!D3)+($R$3*C14)</f>
        <v>13481.7636</v>
      </c>
      <c r="E14" s="6">
        <f>($Q$3*kg!E3)+($R$3*D14)</f>
        <v>12767.525519999999</v>
      </c>
      <c r="F14" s="6">
        <f>($Q$3*kg!F3)+($R$3*E14)</f>
        <v>11665.965864</v>
      </c>
      <c r="G14" s="6">
        <f>($Q$3*kg!G3)+($R$3*F14)</f>
        <v>10621.784104799999</v>
      </c>
      <c r="H14" s="6">
        <f>($Q$3*kg!H3)+($R$3*G14)</f>
        <v>12914.868873359999</v>
      </c>
      <c r="I14" s="6">
        <f>($Q$3*kg!I3)+($R$3*H14)</f>
        <v>12353.812211351998</v>
      </c>
      <c r="J14" s="6">
        <f>($Q$3*kg!J3)+($R$3*I14)</f>
        <v>11914.533547946397</v>
      </c>
      <c r="K14" s="6">
        <f>($Q$3*kg!K3)+($R$3*J14)</f>
        <v>10862.075483562478</v>
      </c>
      <c r="L14" s="6">
        <f>($Q$3*kg!L3)+($R$3*K14)</f>
        <v>13048.437838493734</v>
      </c>
      <c r="M14" s="6">
        <f>($Q$3*kg!M3)+($R$3*L14)</f>
        <v>12705.523486945613</v>
      </c>
    </row>
    <row r="15" spans="1:18" x14ac:dyDescent="0.3">
      <c r="A15" s="6" t="str">
        <f t="shared" si="5"/>
        <v>Oil A 200 LT</v>
      </c>
      <c r="B15" s="6">
        <f t="shared" si="5"/>
        <v>459915.78</v>
      </c>
      <c r="C15" s="6">
        <f>($Q$3*kg!C4)+($R$3*B15)</f>
        <v>441107.27399999998</v>
      </c>
      <c r="D15" s="6">
        <f>($Q$3*kg!D4)+($R$3*C15)</f>
        <v>425546.78579999995</v>
      </c>
      <c r="E15" s="6">
        <f>($Q$3*kg!E4)+($R$3*D15)</f>
        <v>449653.98005999997</v>
      </c>
      <c r="F15" s="6">
        <f>($Q$3*kg!F4)+($R$3*E15)</f>
        <v>375081.66004199994</v>
      </c>
      <c r="G15" s="6">
        <f>($Q$3*kg!G4)+($R$3*F15)</f>
        <v>376038.70202939992</v>
      </c>
      <c r="H15" s="6">
        <f>($Q$3*kg!H4)+($R$3*G15)</f>
        <v>402270.69542057998</v>
      </c>
      <c r="I15" s="6">
        <f>($Q$3*kg!I4)+($R$3*H15)</f>
        <v>435147.744794406</v>
      </c>
      <c r="J15" s="6">
        <f>($Q$3*kg!J4)+($R$3*I15)</f>
        <v>458554.48135608423</v>
      </c>
      <c r="K15" s="6">
        <f>($Q$3*kg!K4)+($R$3*J15)</f>
        <v>478705.17494925892</v>
      </c>
      <c r="L15" s="6">
        <f>($Q$3*kg!L4)+($R$3*K15)</f>
        <v>479307.21046448126</v>
      </c>
      <c r="M15" s="6">
        <f>($Q$3*kg!M4)+($R$3*L15)</f>
        <v>464074.83932513685</v>
      </c>
    </row>
    <row r="16" spans="1:18" x14ac:dyDescent="0.3">
      <c r="A16" s="6" t="str">
        <f t="shared" si="5"/>
        <v>Oil A 1000 LT</v>
      </c>
      <c r="B16" s="6">
        <f t="shared" si="5"/>
        <v>23458.3</v>
      </c>
      <c r="C16" s="6">
        <f>($Q$3*kg!C5)+($R$3*B16)</f>
        <v>29085.79</v>
      </c>
      <c r="D16" s="6">
        <f>($Q$3*kg!D5)+($R$3*C16)</f>
        <v>28985.623</v>
      </c>
      <c r="E16" s="6">
        <f>($Q$3*kg!E5)+($R$3*D16)</f>
        <v>32103.006099999999</v>
      </c>
      <c r="F16" s="6">
        <f>($Q$3*kg!F5)+($R$3*E16)</f>
        <v>29630.584269999996</v>
      </c>
      <c r="G16" s="6">
        <f>($Q$3*kg!G5)+($R$3*F16)</f>
        <v>37906.478988999996</v>
      </c>
      <c r="H16" s="6">
        <f>($Q$3*kg!H5)+($R$3*G16)</f>
        <v>51655.545292299998</v>
      </c>
      <c r="I16" s="6">
        <f>($Q$3*kg!I5)+($R$3*H16)</f>
        <v>52374.841704609993</v>
      </c>
      <c r="J16" s="6">
        <f>($Q$3*kg!J5)+($R$3*I16)</f>
        <v>40041.739193226989</v>
      </c>
      <c r="K16" s="6">
        <f>($Q$3*kg!K5)+($R$3*J16)</f>
        <v>35293.717435258892</v>
      </c>
      <c r="L16" s="6">
        <f>($Q$3*kg!L5)+($R$3*K16)</f>
        <v>32763.782204681222</v>
      </c>
      <c r="M16" s="6">
        <f>($Q$3*kg!M5)+($R$3*L16)</f>
        <v>33090.457543276854</v>
      </c>
    </row>
    <row r="17" spans="1:25" x14ac:dyDescent="0.3">
      <c r="A17" s="6" t="str">
        <f t="shared" si="5"/>
        <v>Oil B 20 LT</v>
      </c>
      <c r="B17" s="6">
        <f t="shared" si="5"/>
        <v>4698.6499999999996</v>
      </c>
      <c r="C17" s="6">
        <f>($Q$3*kg!C6)+($R$3*B17)</f>
        <v>5882.5550000000003</v>
      </c>
      <c r="D17" s="6">
        <f>($Q$3*kg!D6)+($R$3*C17)</f>
        <v>6514.6234999999997</v>
      </c>
      <c r="E17" s="6">
        <f>($Q$3*kg!E6)+($R$3*D17)</f>
        <v>6523.3044499999996</v>
      </c>
      <c r="F17" s="6">
        <f>($Q$3*kg!F6)+($R$3*E17)</f>
        <v>18275.593115000003</v>
      </c>
      <c r="G17" s="6">
        <f>($Q$3*kg!G6)+($R$3*F17)</f>
        <v>14875.821180500003</v>
      </c>
      <c r="H17" s="6">
        <f>($Q$3*kg!H6)+($R$3*G17)</f>
        <v>13001.387826350001</v>
      </c>
      <c r="I17" s="6">
        <f>($Q$3*kg!I6)+($R$3*H17)</f>
        <v>14259.171478445001</v>
      </c>
      <c r="J17" s="6">
        <f>($Q$3*kg!J6)+($R$3*I17)</f>
        <v>15154.0200349115</v>
      </c>
      <c r="K17" s="6">
        <f>($Q$3*kg!K6)+($R$3*J17)</f>
        <v>21157.974024438052</v>
      </c>
      <c r="L17" s="6">
        <f>($Q$3*kg!L6)+($R$3*K17)</f>
        <v>16773.601817106635</v>
      </c>
      <c r="M17" s="6">
        <f>($Q$3*kg!M6)+($R$3*L17)</f>
        <v>14261.983271974645</v>
      </c>
    </row>
    <row r="18" spans="1:25" x14ac:dyDescent="0.3">
      <c r="A18" s="6" t="str">
        <f t="shared" si="5"/>
        <v>Oil B 200 LT</v>
      </c>
      <c r="B18" s="6">
        <f t="shared" si="5"/>
        <v>1033.08</v>
      </c>
      <c r="C18" s="6">
        <f>($Q$3*kg!C7)+($R$3*B18)</f>
        <v>8366.5380000000005</v>
      </c>
      <c r="D18" s="6">
        <f>($Q$3*kg!D7)+($R$3*C18)</f>
        <v>11705.6826</v>
      </c>
      <c r="E18" s="6">
        <f>($Q$3*kg!E7)+($R$3*D18)</f>
        <v>13850.747820000001</v>
      </c>
      <c r="F18" s="6">
        <f>($Q$3*kg!F7)+($R$3*E18)</f>
        <v>17751.003474000001</v>
      </c>
      <c r="G18" s="6">
        <f>($Q$3*kg!G7)+($R$3*F18)</f>
        <v>17666.189431800001</v>
      </c>
      <c r="H18" s="6">
        <f>($Q$3*kg!H7)+($R$3*G18)</f>
        <v>28373.804602260003</v>
      </c>
      <c r="I18" s="6">
        <f>($Q$3*kg!I7)+($R$3*H18)</f>
        <v>29453.641221582002</v>
      </c>
      <c r="J18" s="6">
        <f>($Q$3*kg!J7)+($R$3*I18)</f>
        <v>29174.388855107401</v>
      </c>
      <c r="K18" s="6">
        <f>($Q$3*kg!K7)+($R$3*J18)</f>
        <v>35745.550198575183</v>
      </c>
      <c r="L18" s="6">
        <f>($Q$3*kg!L7)+($R$3*K18)</f>
        <v>40066.849139002632</v>
      </c>
      <c r="M18" s="6">
        <f>($Q$3*kg!M7)+($R$3*L18)</f>
        <v>40916.020397301843</v>
      </c>
    </row>
    <row r="19" spans="1:25" x14ac:dyDescent="0.3">
      <c r="A19" s="6">
        <v>0.4</v>
      </c>
      <c r="B19" s="6" t="str">
        <f t="shared" ref="B19:M19" si="6">B13</f>
        <v>T1</v>
      </c>
      <c r="C19" s="6" t="str">
        <f t="shared" si="6"/>
        <v>T2</v>
      </c>
      <c r="D19" s="6" t="str">
        <f t="shared" si="6"/>
        <v>T3</v>
      </c>
      <c r="E19" s="6" t="str">
        <f t="shared" si="6"/>
        <v>T4</v>
      </c>
      <c r="F19" s="6" t="str">
        <f t="shared" si="6"/>
        <v>T5</v>
      </c>
      <c r="G19" s="6" t="str">
        <f t="shared" si="6"/>
        <v>T6</v>
      </c>
      <c r="H19" s="6" t="str">
        <f t="shared" si="6"/>
        <v>T7</v>
      </c>
      <c r="I19" s="6" t="str">
        <f t="shared" si="6"/>
        <v>T8</v>
      </c>
      <c r="J19" s="6" t="str">
        <f t="shared" si="6"/>
        <v>T9</v>
      </c>
      <c r="K19" s="6" t="str">
        <f t="shared" si="6"/>
        <v>T10</v>
      </c>
      <c r="L19" s="6" t="str">
        <f t="shared" si="6"/>
        <v>T11</v>
      </c>
      <c r="M19" s="6" t="str">
        <f t="shared" si="6"/>
        <v>T12</v>
      </c>
    </row>
    <row r="20" spans="1:25" x14ac:dyDescent="0.3">
      <c r="A20" s="6" t="str">
        <f t="shared" ref="A20:B24" si="7">A14</f>
        <v>Oil A 20 LT</v>
      </c>
      <c r="B20" s="6">
        <f t="shared" si="7"/>
        <v>12588.09</v>
      </c>
      <c r="C20" s="6">
        <f>($Q$4*kg!C3)+($R$4*B20)</f>
        <v>9468.753999999999</v>
      </c>
      <c r="D20" s="6">
        <f>($Q$4*kg!D3)+($R$4*C20)</f>
        <v>14091.588400000001</v>
      </c>
      <c r="E20" s="6">
        <f>($Q$4*kg!E3)+($R$4*D20)</f>
        <v>12895.341039999999</v>
      </c>
      <c r="F20" s="6">
        <f>($Q$4*kg!F3)+($R$4*E20)</f>
        <v>11375.468623999999</v>
      </c>
      <c r="G20" s="6">
        <f>($Q$4*kg!G3)+($R$4*F20)</f>
        <v>10099.425174399999</v>
      </c>
      <c r="H20" s="6">
        <f>($Q$4*kg!H3)+($R$4*G20)</f>
        <v>13365.81510464</v>
      </c>
      <c r="I20" s="6">
        <f>($Q$4*kg!I3)+($R$4*H20)</f>
        <v>12437.361062783999</v>
      </c>
      <c r="J20" s="6">
        <f>($Q$4*kg!J3)+($R$4*I20)</f>
        <v>11818.236637670398</v>
      </c>
      <c r="K20" s="6">
        <f>($Q$4*kg!K3)+($R$4*J20)</f>
        <v>10453.477982602239</v>
      </c>
      <c r="L20" s="6">
        <f>($Q$4*kg!L3)+($R$4*K20)</f>
        <v>13532.066789561344</v>
      </c>
      <c r="M20" s="6">
        <f>($Q$4*kg!M3)+($R$4*L20)</f>
        <v>12881.396073736807</v>
      </c>
    </row>
    <row r="21" spans="1:25" x14ac:dyDescent="0.3">
      <c r="A21" s="6" t="str">
        <f t="shared" si="7"/>
        <v>Oil A 200 LT</v>
      </c>
      <c r="B21" s="6">
        <f t="shared" si="7"/>
        <v>459915.78</v>
      </c>
      <c r="C21" s="6">
        <f>($Q$4*kg!C4)+($R$4*B21)</f>
        <v>434837.772</v>
      </c>
      <c r="D21" s="6">
        <f>($Q$4*kg!D4)+($R$4*C21)</f>
        <v>416598.25520000001</v>
      </c>
      <c r="E21" s="6">
        <f>($Q$4*kg!E4)+($R$4*D21)</f>
        <v>452320.59311999998</v>
      </c>
      <c r="F21" s="6">
        <f>($Q$4*kg!F4)+($R$4*E21)</f>
        <v>351824.18787199998</v>
      </c>
      <c r="G21" s="6">
        <f>($Q$4*kg!G4)+($R$4*F21)</f>
        <v>362403.2327232</v>
      </c>
      <c r="H21" s="6">
        <f>($Q$4*kg!H4)+($R$4*G21)</f>
        <v>402833.41163392004</v>
      </c>
      <c r="I21" s="6">
        <f>($Q$4*kg!I4)+($R$4*H21)</f>
        <v>446444.39098035207</v>
      </c>
      <c r="J21" s="6">
        <f>($Q$4*kg!J4)+($R$4*I21)</f>
        <v>473134.71458821127</v>
      </c>
      <c r="K21" s="6">
        <f>($Q$4*kg!K4)+($R$4*J21)</f>
        <v>494170.21275292675</v>
      </c>
      <c r="L21" s="6">
        <f>($Q$4*kg!L4)+($R$4*K21)</f>
        <v>488786.91165175603</v>
      </c>
      <c r="M21" s="6">
        <f>($Q$4*kg!M4)+($R$4*L21)</f>
        <v>464685.20299105358</v>
      </c>
    </row>
    <row r="22" spans="1:25" x14ac:dyDescent="0.3">
      <c r="A22" s="6" t="str">
        <f t="shared" si="7"/>
        <v>Oil A 1000 LT</v>
      </c>
      <c r="B22" s="6">
        <f t="shared" si="7"/>
        <v>23458.3</v>
      </c>
      <c r="C22" s="6">
        <f>($Q$4*kg!C5)+($R$4*B22)</f>
        <v>30961.62</v>
      </c>
      <c r="D22" s="6">
        <f>($Q$4*kg!D5)+($R$4*C22)</f>
        <v>30077.732</v>
      </c>
      <c r="E22" s="6">
        <f>($Q$4*kg!E5)+($R$4*D22)</f>
        <v>33797.3992</v>
      </c>
      <c r="F22" s="6">
        <f>($Q$4*kg!F5)+($R$4*E22)</f>
        <v>29823.079519999999</v>
      </c>
      <c r="G22" s="6">
        <f>($Q$4*kg!G5)+($R$4*F22)</f>
        <v>40780.607711999997</v>
      </c>
      <c r="H22" s="6">
        <f>($Q$4*kg!H5)+($R$4*G22)</f>
        <v>57963.044627199997</v>
      </c>
      <c r="I22" s="6">
        <f>($Q$4*kg!I5)+($R$4*H22)</f>
        <v>56399.106776319997</v>
      </c>
      <c r="J22" s="6">
        <f>($Q$4*kg!J5)+($R$4*I22)</f>
        <v>38345.264065791998</v>
      </c>
      <c r="K22" s="6">
        <f>($Q$4*kg!K5)+($R$4*J22)</f>
        <v>32693.158439475199</v>
      </c>
      <c r="L22" s="6">
        <f>($Q$4*kg!L5)+($R$4*K22)</f>
        <v>30360.13506368512</v>
      </c>
      <c r="M22" s="6">
        <f>($Q$4*kg!M5)+($R$4*L22)</f>
        <v>31757.161038211074</v>
      </c>
      <c r="N22" s="6">
        <f t="shared" ref="N22:Y22" si="8">SUM(B2:B6)</f>
        <v>501693.90000000008</v>
      </c>
      <c r="O22" s="6">
        <f t="shared" si="8"/>
        <v>499359.51500000001</v>
      </c>
      <c r="P22" s="6">
        <f t="shared" si="8"/>
        <v>496073.88250000001</v>
      </c>
      <c r="Q22" s="6">
        <f t="shared" si="8"/>
        <v>504644.63725000009</v>
      </c>
      <c r="R22" s="6">
        <f t="shared" si="8"/>
        <v>484838.77752499998</v>
      </c>
      <c r="S22" s="6">
        <f t="shared" si="8"/>
        <v>483163.43677250005</v>
      </c>
      <c r="T22" s="6">
        <f t="shared" si="8"/>
        <v>497593.76609525003</v>
      </c>
      <c r="U22" s="6">
        <f t="shared" si="8"/>
        <v>510446.98948572512</v>
      </c>
      <c r="V22" s="6">
        <f t="shared" si="8"/>
        <v>517511.19553715264</v>
      </c>
      <c r="W22" s="6">
        <f t="shared" si="8"/>
        <v>530219.10198343743</v>
      </c>
      <c r="X22" s="6">
        <f t="shared" si="8"/>
        <v>535438.77078509377</v>
      </c>
      <c r="Y22" s="6">
        <f t="shared" si="8"/>
        <v>534453.86270658439</v>
      </c>
    </row>
    <row r="23" spans="1:25" x14ac:dyDescent="0.3">
      <c r="A23" s="6" t="str">
        <f t="shared" si="7"/>
        <v>Oil B 20 LT</v>
      </c>
      <c r="B23" s="6">
        <f t="shared" si="7"/>
        <v>4698.6499999999996</v>
      </c>
      <c r="C23" s="6">
        <f>($Q$4*kg!C6)+($R$4*B23)</f>
        <v>6277.19</v>
      </c>
      <c r="D23" s="6">
        <f>($Q$4*kg!D6)+($R$4*C23)</f>
        <v>6962.0939999999991</v>
      </c>
      <c r="E23" s="6">
        <f>($Q$4*kg!E6)+($R$4*D23)</f>
        <v>6794.6803999999993</v>
      </c>
      <c r="F23" s="6">
        <f>($Q$4*kg!F6)+($R$4*E23)</f>
        <v>22355.848239999999</v>
      </c>
      <c r="G23" s="6">
        <f>($Q$4*kg!G6)+($R$4*F23)</f>
        <v>16190.716944</v>
      </c>
      <c r="H23" s="6">
        <f>($Q$4*kg!H6)+($R$4*G23)</f>
        <v>13165.5141664</v>
      </c>
      <c r="I23" s="6">
        <f>($Q$4*kg!I6)+($R$4*H23)</f>
        <v>14776.908499839999</v>
      </c>
      <c r="J23" s="6">
        <f>($Q$4*kg!J6)+($R$4*I23)</f>
        <v>15762.945099903998</v>
      </c>
      <c r="K23" s="6">
        <f>($Q$4*kg!K6)+($R$4*J23)</f>
        <v>23524.647059942399</v>
      </c>
      <c r="L23" s="6">
        <f>($Q$4*kg!L6)+($R$4*K23)</f>
        <v>16732.14823596544</v>
      </c>
      <c r="M23" s="6">
        <f>($Q$4*kg!M6)+($R$4*L23)</f>
        <v>13399.904941579263</v>
      </c>
    </row>
    <row r="24" spans="1:25" x14ac:dyDescent="0.3">
      <c r="A24" s="6" t="str">
        <f t="shared" si="7"/>
        <v>Oil B 200 LT</v>
      </c>
      <c r="B24" s="6">
        <f t="shared" si="7"/>
        <v>1033.08</v>
      </c>
      <c r="C24" s="6">
        <f>($Q$4*kg!C7)+($R$4*B24)</f>
        <v>10811.023999999999</v>
      </c>
      <c r="D24" s="6">
        <f>($Q$4*kg!D7)+($R$4*C24)</f>
        <v>14285.422399999999</v>
      </c>
      <c r="E24" s="6">
        <f>($Q$4*kg!E7)+($R$4*D24)</f>
        <v>16113.613439999999</v>
      </c>
      <c r="F24" s="6">
        <f>($Q$4*kg!F7)+($R$4*E24)</f>
        <v>20408.808063999997</v>
      </c>
      <c r="G24" s="6">
        <f>($Q$4*kg!G7)+($R$4*F24)</f>
        <v>19232.600838399998</v>
      </c>
      <c r="H24" s="6">
        <f>($Q$4*kg!H7)+($R$4*G24)</f>
        <v>32882.856503039999</v>
      </c>
      <c r="I24" s="6">
        <f>($Q$4*kg!I7)+($R$4*H24)</f>
        <v>32519.017901823998</v>
      </c>
      <c r="J24" s="6">
        <f>($Q$4*kg!J7)+($R$4*I24)</f>
        <v>30920.530741094401</v>
      </c>
      <c r="K24" s="6">
        <f>($Q$4*kg!K7)+($R$4*J24)</f>
        <v>38983.622444656648</v>
      </c>
      <c r="L24" s="6">
        <f>($Q$4*kg!L7)+($R$4*K24)</f>
        <v>43450.125466793994</v>
      </c>
      <c r="M24" s="6">
        <f>($Q$4*kg!M7)+($R$4*L24)</f>
        <v>43229.043280076396</v>
      </c>
    </row>
    <row r="25" spans="1:25" x14ac:dyDescent="0.3">
      <c r="A25" s="6">
        <v>0.5</v>
      </c>
      <c r="B25" s="6" t="str">
        <f t="shared" ref="B25:M25" si="9">B19</f>
        <v>T1</v>
      </c>
      <c r="C25" s="6" t="str">
        <f t="shared" si="9"/>
        <v>T2</v>
      </c>
      <c r="D25" s="6" t="str">
        <f t="shared" si="9"/>
        <v>T3</v>
      </c>
      <c r="E25" s="6" t="str">
        <f t="shared" si="9"/>
        <v>T4</v>
      </c>
      <c r="F25" s="6" t="str">
        <f t="shared" si="9"/>
        <v>T5</v>
      </c>
      <c r="G25" s="6" t="str">
        <f t="shared" si="9"/>
        <v>T6</v>
      </c>
      <c r="H25" s="6" t="str">
        <f t="shared" si="9"/>
        <v>T7</v>
      </c>
      <c r="I25" s="6" t="str">
        <f t="shared" si="9"/>
        <v>T8</v>
      </c>
      <c r="J25" s="6" t="str">
        <f t="shared" si="9"/>
        <v>T9</v>
      </c>
      <c r="K25" s="6" t="str">
        <f t="shared" si="9"/>
        <v>T10</v>
      </c>
      <c r="L25" s="6" t="str">
        <f t="shared" si="9"/>
        <v>T11</v>
      </c>
      <c r="M25" s="6" t="str">
        <f t="shared" si="9"/>
        <v>T12</v>
      </c>
    </row>
    <row r="26" spans="1:25" x14ac:dyDescent="0.3">
      <c r="A26" s="6" t="str">
        <f t="shared" ref="A26:B30" si="10">A20</f>
        <v>Oil A 20 LT</v>
      </c>
      <c r="B26" s="6">
        <f t="shared" si="10"/>
        <v>12588.09</v>
      </c>
      <c r="C26" s="6">
        <f>($Q$5*kg!C3)+($R$5*B26)</f>
        <v>8688.92</v>
      </c>
      <c r="D26" s="6">
        <f>($Q$5*kg!D3)+($R$5*C26)</f>
        <v>14857.380000000001</v>
      </c>
      <c r="E26" s="6">
        <f>($Q$5*kg!E3)+($R$5*D26)</f>
        <v>12979.174999999999</v>
      </c>
      <c r="F26" s="6">
        <f>($Q$5*kg!F3)+($R$5*E26)</f>
        <v>11037.4175</v>
      </c>
      <c r="G26" s="6">
        <f>($Q$5*kg!G3)+($R$5*F26)</f>
        <v>9611.3887500000001</v>
      </c>
      <c r="H26" s="6">
        <f>($Q$5*kg!H3)+($R$5*G26)</f>
        <v>13938.394375</v>
      </c>
      <c r="I26" s="6">
        <f>($Q$5*kg!I3)+($R$5*H26)</f>
        <v>12491.5371875</v>
      </c>
      <c r="J26" s="6">
        <f>($Q$5*kg!J3)+($R$5*I26)</f>
        <v>11690.543593750001</v>
      </c>
      <c r="K26" s="6">
        <f>($Q$5*kg!K3)+($R$5*J26)</f>
        <v>10048.441796875</v>
      </c>
      <c r="L26" s="6">
        <f>($Q$5*kg!L3)+($R$5*K26)</f>
        <v>14099.195898437501</v>
      </c>
      <c r="M26" s="6">
        <f>($Q$5*kg!M3)+($R$5*L26)</f>
        <v>13002.29294921875</v>
      </c>
    </row>
    <row r="27" spans="1:25" x14ac:dyDescent="0.3">
      <c r="A27" s="6" t="str">
        <f t="shared" si="10"/>
        <v>Oil A 200 LT</v>
      </c>
      <c r="B27" s="6">
        <f t="shared" si="10"/>
        <v>459915.78</v>
      </c>
      <c r="C27" s="6">
        <f>($Q$5*kg!C4)+($R$5*B27)</f>
        <v>428568.27</v>
      </c>
      <c r="D27" s="6">
        <f>($Q$5*kg!D4)+($R$5*C27)</f>
        <v>408903.625</v>
      </c>
      <c r="E27" s="6">
        <f>($Q$5*kg!E4)+($R$5*D27)</f>
        <v>457403.86249999999</v>
      </c>
      <c r="F27" s="6">
        <f>($Q$5*kg!F4)+($R$5*E27)</f>
        <v>329241.72125</v>
      </c>
      <c r="G27" s="6">
        <f>($Q$5*kg!G4)+($R$5*F27)</f>
        <v>353756.760625</v>
      </c>
      <c r="H27" s="6">
        <f>($Q$5*kg!H4)+($R$5*G27)</f>
        <v>408617.72031250002</v>
      </c>
      <c r="I27" s="6">
        <f>($Q$5*kg!I4)+($R$5*H27)</f>
        <v>460239.29015625</v>
      </c>
      <c r="J27" s="6">
        <f>($Q$5*kg!J4)+($R$5*I27)</f>
        <v>486704.74507812504</v>
      </c>
      <c r="K27" s="6">
        <f>($Q$5*kg!K4)+($R$5*J27)</f>
        <v>506214.1025390625</v>
      </c>
      <c r="L27" s="6">
        <f>($Q$5*kg!L4)+($R$5*K27)</f>
        <v>493463.03126953123</v>
      </c>
      <c r="M27" s="6">
        <f>($Q$5*kg!M4)+($R$5*L27)</f>
        <v>460997.83563476562</v>
      </c>
    </row>
    <row r="28" spans="1:25" x14ac:dyDescent="0.3">
      <c r="A28" s="6" t="str">
        <f t="shared" si="10"/>
        <v>Oil A 1000 LT</v>
      </c>
      <c r="B28" s="6">
        <f t="shared" si="10"/>
        <v>23458.3</v>
      </c>
      <c r="C28" s="6">
        <f>($Q$5*kg!C5)+($R$5*B28)</f>
        <v>32837.449999999997</v>
      </c>
      <c r="D28" s="6">
        <f>($Q$5*kg!D5)+($R$5*C28)</f>
        <v>30794.674999999999</v>
      </c>
      <c r="E28" s="6">
        <f>($Q$5*kg!E5)+($R$5*D28)</f>
        <v>35085.787499999999</v>
      </c>
      <c r="F28" s="6">
        <f>($Q$5*kg!F5)+($R$5*E28)</f>
        <v>29473.693749999999</v>
      </c>
      <c r="G28" s="6">
        <f>($Q$5*kg!G5)+($R$5*F28)</f>
        <v>43345.296875</v>
      </c>
      <c r="H28" s="6">
        <f>($Q$5*kg!H5)+($R$5*G28)</f>
        <v>63540.998437499999</v>
      </c>
      <c r="I28" s="6">
        <f>($Q$5*kg!I5)+($R$5*H28)</f>
        <v>58797.099218749994</v>
      </c>
      <c r="J28" s="6">
        <f>($Q$5*kg!J5)+($R$5*I28)</f>
        <v>35030.799609374997</v>
      </c>
      <c r="K28" s="6">
        <f>($Q$5*kg!K5)+($R$5*J28)</f>
        <v>29622.899804687499</v>
      </c>
      <c r="L28" s="6">
        <f>($Q$5*kg!L5)+($R$5*K28)</f>
        <v>28241.749902343749</v>
      </c>
      <c r="M28" s="6">
        <f>($Q$5*kg!M5)+($R$5*L28)</f>
        <v>31047.224951171873</v>
      </c>
    </row>
    <row r="29" spans="1:25" x14ac:dyDescent="0.3">
      <c r="A29" s="6" t="str">
        <f t="shared" si="10"/>
        <v>Oil B 20 LT</v>
      </c>
      <c r="B29" s="6">
        <f t="shared" si="10"/>
        <v>4698.6499999999996</v>
      </c>
      <c r="C29" s="6">
        <f>($Q$5*kg!C6)+($R$5*B29)</f>
        <v>6671.8249999999998</v>
      </c>
      <c r="D29" s="6">
        <f>($Q$5*kg!D6)+($R$5*C29)</f>
        <v>7330.6374999999998</v>
      </c>
      <c r="E29" s="6">
        <f>($Q$5*kg!E6)+($R$5*D29)</f>
        <v>6937.0987500000001</v>
      </c>
      <c r="F29" s="6">
        <f>($Q$5*kg!F6)+($R$5*E29)</f>
        <v>26317.349374999998</v>
      </c>
      <c r="G29" s="6">
        <f>($Q$5*kg!G6)+($R$5*F29)</f>
        <v>16630.184687499997</v>
      </c>
      <c r="H29" s="6">
        <f>($Q$5*kg!H6)+($R$5*G29)</f>
        <v>12628.947343749998</v>
      </c>
      <c r="I29" s="6">
        <f>($Q$5*kg!I6)+($R$5*H29)</f>
        <v>14911.473671874999</v>
      </c>
      <c r="J29" s="6">
        <f>($Q$5*kg!J6)+($R$5*I29)</f>
        <v>16076.7368359375</v>
      </c>
      <c r="K29" s="6">
        <f>($Q$5*kg!K6)+($R$5*J29)</f>
        <v>25621.968417968747</v>
      </c>
      <c r="L29" s="6">
        <f>($Q$5*kg!L6)+($R$5*K29)</f>
        <v>16082.684208984374</v>
      </c>
      <c r="M29" s="6">
        <f>($Q$5*kg!M6)+($R$5*L29)</f>
        <v>12242.112104492187</v>
      </c>
    </row>
    <row r="30" spans="1:25" x14ac:dyDescent="0.3">
      <c r="A30" s="6" t="str">
        <f t="shared" si="10"/>
        <v>Oil B 200 LT</v>
      </c>
      <c r="B30" s="6">
        <f t="shared" si="10"/>
        <v>1033.08</v>
      </c>
      <c r="C30" s="6">
        <f>($Q$5*kg!C7)+($R$5*B30)</f>
        <v>13255.509999999998</v>
      </c>
      <c r="D30" s="6">
        <f>($Q$5*kg!D7)+($R$5*C30)</f>
        <v>16376.264999999999</v>
      </c>
      <c r="E30" s="6">
        <f>($Q$5*kg!E7)+($R$5*D30)</f>
        <v>17616.0825</v>
      </c>
      <c r="F30" s="6">
        <f>($Q$5*kg!F7)+($R$5*E30)</f>
        <v>22233.841249999998</v>
      </c>
      <c r="G30" s="6">
        <f>($Q$5*kg!G7)+($R$5*F30)</f>
        <v>19851.065624999999</v>
      </c>
      <c r="H30" s="6">
        <f>($Q$5*kg!H7)+($R$5*G30)</f>
        <v>36604.652812499997</v>
      </c>
      <c r="I30" s="6">
        <f>($Q$5*kg!I7)+($R$5*H30)</f>
        <v>34288.956406249999</v>
      </c>
      <c r="J30" s="6">
        <f>($Q$5*kg!J7)+($R$5*I30)</f>
        <v>31405.878203125001</v>
      </c>
      <c r="K30" s="6">
        <f>($Q$5*kg!K7)+($R$5*J30)</f>
        <v>41242.069101562505</v>
      </c>
      <c r="L30" s="6">
        <f>($Q$5*kg!L7)+($R$5*K30)</f>
        <v>45695.974550781248</v>
      </c>
      <c r="M30" s="6">
        <f>($Q$5*kg!M7)+($R$5*L30)</f>
        <v>44296.697275390623</v>
      </c>
    </row>
    <row r="31" spans="1:25" x14ac:dyDescent="0.3">
      <c r="A31" s="6">
        <v>0.6</v>
      </c>
      <c r="B31" s="6" t="str">
        <f t="shared" ref="B31:M31" si="11">B25</f>
        <v>T1</v>
      </c>
      <c r="C31" s="6" t="str">
        <f t="shared" si="11"/>
        <v>T2</v>
      </c>
      <c r="D31" s="6" t="str">
        <f t="shared" si="11"/>
        <v>T3</v>
      </c>
      <c r="E31" s="6" t="str">
        <f t="shared" si="11"/>
        <v>T4</v>
      </c>
      <c r="F31" s="6" t="str">
        <f t="shared" si="11"/>
        <v>T5</v>
      </c>
      <c r="G31" s="6" t="str">
        <f t="shared" si="11"/>
        <v>T6</v>
      </c>
      <c r="H31" s="6" t="str">
        <f t="shared" si="11"/>
        <v>T7</v>
      </c>
      <c r="I31" s="6" t="str">
        <f t="shared" si="11"/>
        <v>T8</v>
      </c>
      <c r="J31" s="6" t="str">
        <f t="shared" si="11"/>
        <v>T9</v>
      </c>
      <c r="K31" s="6" t="str">
        <f t="shared" si="11"/>
        <v>T10</v>
      </c>
      <c r="L31" s="6" t="str">
        <f t="shared" si="11"/>
        <v>T11</v>
      </c>
      <c r="M31" s="6" t="str">
        <f t="shared" si="11"/>
        <v>T12</v>
      </c>
    </row>
    <row r="32" spans="1:25" x14ac:dyDescent="0.3">
      <c r="A32" s="6" t="str">
        <f t="shared" ref="A32:B36" si="12">A26</f>
        <v>Oil A 20 LT</v>
      </c>
      <c r="B32" s="6">
        <f t="shared" si="12"/>
        <v>12588.09</v>
      </c>
      <c r="C32" s="6">
        <f>($Q$6*kg!C3)+($R$6*B32)</f>
        <v>7909.0860000000011</v>
      </c>
      <c r="D32" s="6">
        <f>($Q$6*kg!D3)+($R$6*C32)</f>
        <v>15779.1384</v>
      </c>
      <c r="E32" s="6">
        <f>($Q$6*kg!E3)+($R$6*D32)</f>
        <v>12972.237359999999</v>
      </c>
      <c r="F32" s="6">
        <f>($Q$6*kg!F3)+($R$6*E32)</f>
        <v>10646.290944</v>
      </c>
      <c r="G32" s="6">
        <f>($Q$6*kg!G3)+($R$6*F32)</f>
        <v>9169.7323775999994</v>
      </c>
      <c r="H32" s="6">
        <f>($Q$6*kg!H3)+($R$6*G32)</f>
        <v>14627.132951039999</v>
      </c>
      <c r="I32" s="6">
        <f>($Q$6*kg!I3)+($R$6*H32)</f>
        <v>12477.661180416</v>
      </c>
      <c r="J32" s="6">
        <f>($Q$6*kg!J3)+($R$6*I32)</f>
        <v>11524.794472166399</v>
      </c>
      <c r="K32" s="6">
        <f>($Q$6*kg!K3)+($R$6*J32)</f>
        <v>9653.72178886656</v>
      </c>
      <c r="L32" s="6">
        <f>($Q$6*kg!L3)+($R$6*K32)</f>
        <v>14751.458715546623</v>
      </c>
      <c r="M32" s="6">
        <f>($Q$6*kg!M3)+($R$6*L32)</f>
        <v>13043.81748621865</v>
      </c>
    </row>
    <row r="33" spans="1:13" x14ac:dyDescent="0.3">
      <c r="A33" s="6" t="str">
        <f t="shared" si="12"/>
        <v>Oil A 200 LT</v>
      </c>
      <c r="B33" s="6">
        <f t="shared" si="12"/>
        <v>459915.78</v>
      </c>
      <c r="C33" s="6">
        <f>($Q$6*kg!C4)+($R$6*B33)</f>
        <v>422298.76800000004</v>
      </c>
      <c r="D33" s="6">
        <f>($Q$6*kg!D4)+($R$6*C33)</f>
        <v>402462.89520000003</v>
      </c>
      <c r="E33" s="6">
        <f>($Q$6*kg!E4)+($R$6*D33)</f>
        <v>464527.61807999999</v>
      </c>
      <c r="F33" s="6">
        <f>($Q$6*kg!F4)+($R$6*E33)</f>
        <v>306458.795232</v>
      </c>
      <c r="G33" s="6">
        <f>($Q$6*kg!G4)+($R$6*F33)</f>
        <v>349546.59809280001</v>
      </c>
      <c r="H33" s="6">
        <f>($Q$6*kg!H4)+($R$6*G33)</f>
        <v>417905.84723712003</v>
      </c>
      <c r="I33" s="6">
        <f>($Q$6*kg!I4)+($R$6*H33)</f>
        <v>474278.85489484802</v>
      </c>
      <c r="J33" s="6">
        <f>($Q$6*kg!J4)+($R$6*I33)</f>
        <v>497613.66195793921</v>
      </c>
      <c r="K33" s="6">
        <f>($Q$6*kg!K4)+($R$6*J33)</f>
        <v>514479.54078317562</v>
      </c>
      <c r="L33" s="6">
        <f>($Q$6*kg!L4)+($R$6*K33)</f>
        <v>494218.99231327022</v>
      </c>
      <c r="M33" s="6">
        <f>($Q$6*kg!M4)+($R$6*L33)</f>
        <v>454807.18092530814</v>
      </c>
    </row>
    <row r="34" spans="1:13" x14ac:dyDescent="0.3">
      <c r="A34" s="6" t="str">
        <f t="shared" si="12"/>
        <v>Oil A 1000 LT</v>
      </c>
      <c r="B34" s="6">
        <f t="shared" si="12"/>
        <v>23458.3</v>
      </c>
      <c r="C34" s="6">
        <f>($Q$6*kg!C5)+($R$6*B34)</f>
        <v>34713.279999999999</v>
      </c>
      <c r="D34" s="6">
        <f>($Q$6*kg!D5)+($R$6*C34)</f>
        <v>31136.451999999997</v>
      </c>
      <c r="E34" s="6">
        <f>($Q$6*kg!E5)+($R$6*D34)</f>
        <v>36080.720799999996</v>
      </c>
      <c r="F34" s="6">
        <f>($Q$6*kg!F5)+($R$6*E34)</f>
        <v>28749.248319999999</v>
      </c>
      <c r="G34" s="6">
        <f>($Q$6*kg!G5)+($R$6*F34)</f>
        <v>45829.839328000002</v>
      </c>
      <c r="H34" s="6">
        <f>($Q$6*kg!H5)+($R$6*G34)</f>
        <v>68573.955731199996</v>
      </c>
      <c r="I34" s="6">
        <f>($Q$6*kg!I5)+($R$6*H34)</f>
        <v>59861.50229248</v>
      </c>
      <c r="J34" s="6">
        <f>($Q$6*kg!J5)+($R$6*I34)</f>
        <v>30703.300916992001</v>
      </c>
      <c r="K34" s="6">
        <f>($Q$6*kg!K5)+($R$6*J34)</f>
        <v>26810.320366796801</v>
      </c>
      <c r="L34" s="6">
        <f>($Q$6*kg!L5)+($R$6*K34)</f>
        <v>26840.488146718722</v>
      </c>
      <c r="M34" s="6">
        <f>($Q$6*kg!M5)+($R$6*L34)</f>
        <v>31047.815258687489</v>
      </c>
    </row>
    <row r="35" spans="1:13" x14ac:dyDescent="0.3">
      <c r="A35" s="6" t="str">
        <f t="shared" si="12"/>
        <v>Oil B 20 LT</v>
      </c>
      <c r="B35" s="6">
        <f t="shared" si="12"/>
        <v>4698.6499999999996</v>
      </c>
      <c r="C35" s="6">
        <f>($Q$6*kg!C6)+($R$6*B35)</f>
        <v>7066.46</v>
      </c>
      <c r="D35" s="6">
        <f>($Q$6*kg!D6)+($R$6*C35)</f>
        <v>7620.2540000000008</v>
      </c>
      <c r="E35" s="6">
        <f>($Q$6*kg!E6)+($R$6*D35)</f>
        <v>6974.2376000000004</v>
      </c>
      <c r="F35" s="6">
        <f>($Q$6*kg!F6)+($R$6*E35)</f>
        <v>30208.255039999996</v>
      </c>
      <c r="G35" s="6">
        <f>($Q$6*kg!G6)+($R$6*F35)</f>
        <v>16249.114016</v>
      </c>
      <c r="H35" s="6">
        <f>($Q$6*kg!H6)+($R$6*G35)</f>
        <v>11676.2716064</v>
      </c>
      <c r="I35" s="6">
        <f>($Q$6*kg!I6)+($R$6*H35)</f>
        <v>14986.90864256</v>
      </c>
      <c r="J35" s="6">
        <f>($Q$6*kg!J6)+($R$6*I35)</f>
        <v>16339.963457024</v>
      </c>
      <c r="K35" s="6">
        <f>($Q$6*kg!K6)+($R$6*J35)</f>
        <v>27636.305382809594</v>
      </c>
      <c r="L35" s="6">
        <f>($Q$6*kg!L6)+($R$6*K35)</f>
        <v>14980.562153123838</v>
      </c>
      <c r="M35" s="6">
        <f>($Q$6*kg!M6)+($R$6*L35)</f>
        <v>11033.148861249534</v>
      </c>
    </row>
    <row r="36" spans="1:13" x14ac:dyDescent="0.3">
      <c r="A36" s="6" t="str">
        <f t="shared" si="12"/>
        <v>Oil B 200 LT</v>
      </c>
      <c r="B36" s="6">
        <f t="shared" si="12"/>
        <v>1033.08</v>
      </c>
      <c r="C36" s="6">
        <f>($Q$6*kg!C7)+($R$6*B36)</f>
        <v>15699.995999999999</v>
      </c>
      <c r="D36" s="6">
        <f>($Q$6*kg!D7)+($R$6*C36)</f>
        <v>17978.2104</v>
      </c>
      <c r="E36" s="6">
        <f>($Q$6*kg!E7)+($R$6*D36)</f>
        <v>18504.82416</v>
      </c>
      <c r="F36" s="6">
        <f>($Q$6*kg!F7)+($R$6*E36)</f>
        <v>23512.889663999998</v>
      </c>
      <c r="G36" s="6">
        <f>($Q$6*kg!G7)+($R$6*F36)</f>
        <v>19886.1298656</v>
      </c>
      <c r="H36" s="6">
        <f>($Q$6*kg!H7)+($R$6*G36)</f>
        <v>39969.395946239994</v>
      </c>
      <c r="I36" s="6">
        <f>($Q$6*kg!I7)+($R$6*H36)</f>
        <v>35171.714378495999</v>
      </c>
      <c r="J36" s="6">
        <f>($Q$6*kg!J7)+($R$6*I36)</f>
        <v>31182.3657513984</v>
      </c>
      <c r="K36" s="6">
        <f>($Q$6*kg!K7)+($R$6*J36)</f>
        <v>43119.902300559363</v>
      </c>
      <c r="L36" s="6">
        <f>($Q$6*kg!L7)+($R$6*K36)</f>
        <v>47337.888920223741</v>
      </c>
      <c r="M36" s="6">
        <f>($Q$6*kg!M7)+($R$6*L36)</f>
        <v>44673.607568089494</v>
      </c>
    </row>
    <row r="37" spans="1:13" x14ac:dyDescent="0.3">
      <c r="A37" s="6">
        <v>0.7</v>
      </c>
      <c r="B37" s="6" t="str">
        <f t="shared" ref="B37:M37" si="13">B31</f>
        <v>T1</v>
      </c>
      <c r="C37" s="6" t="str">
        <f t="shared" si="13"/>
        <v>T2</v>
      </c>
      <c r="D37" s="6" t="str">
        <f t="shared" si="13"/>
        <v>T3</v>
      </c>
      <c r="E37" s="6" t="str">
        <f t="shared" si="13"/>
        <v>T4</v>
      </c>
      <c r="F37" s="6" t="str">
        <f t="shared" si="13"/>
        <v>T5</v>
      </c>
      <c r="G37" s="6" t="str">
        <f t="shared" si="13"/>
        <v>T6</v>
      </c>
      <c r="H37" s="6" t="str">
        <f t="shared" si="13"/>
        <v>T7</v>
      </c>
      <c r="I37" s="6" t="str">
        <f t="shared" si="13"/>
        <v>T8</v>
      </c>
      <c r="J37" s="6" t="str">
        <f t="shared" si="13"/>
        <v>T9</v>
      </c>
      <c r="K37" s="6" t="str">
        <f t="shared" si="13"/>
        <v>T10</v>
      </c>
      <c r="L37" s="6" t="str">
        <f t="shared" si="13"/>
        <v>T11</v>
      </c>
      <c r="M37" s="6" t="str">
        <f t="shared" si="13"/>
        <v>T12</v>
      </c>
    </row>
    <row r="38" spans="1:13" x14ac:dyDescent="0.3">
      <c r="A38" s="6" t="str">
        <f t="shared" ref="A38:B42" si="14">A32</f>
        <v>Oil A 20 LT</v>
      </c>
      <c r="B38" s="6">
        <f t="shared" si="14"/>
        <v>12588.09</v>
      </c>
      <c r="C38" s="6">
        <f>($Q$7*kg!C3)+($R$7*B38)</f>
        <v>7129.2520000000004</v>
      </c>
      <c r="D38" s="6">
        <f>($Q$7*kg!D3)+($R$7*C38)</f>
        <v>16856.863600000001</v>
      </c>
      <c r="E38" s="6">
        <f>($Q$7*kg!E3)+($R$7*D38)</f>
        <v>12827.738079999999</v>
      </c>
      <c r="F38" s="6">
        <f>($Q$7*kg!F3)+($R$7*E38)</f>
        <v>10215.283423999999</v>
      </c>
      <c r="G38" s="6">
        <f>($Q$7*kg!G3)+($R$7*F38)</f>
        <v>8794.3370271999993</v>
      </c>
      <c r="H38" s="6">
        <f>($Q$7*kg!H3)+($R$7*G38)</f>
        <v>15424.08110816</v>
      </c>
      <c r="I38" s="6">
        <f>($Q$7*kg!I3)+($R$7*H38)</f>
        <v>12358.500332448</v>
      </c>
      <c r="J38" s="6">
        <f>($Q$7*kg!J3)+($R$7*I38)</f>
        <v>11330.2350997344</v>
      </c>
      <c r="K38" s="6">
        <f>($Q$7*kg!K3)+($R$7*J38)</f>
        <v>9283.5085299203201</v>
      </c>
      <c r="L38" s="6">
        <f>($Q$7*kg!L3)+($R$7*K38)</f>
        <v>15490.017558976097</v>
      </c>
      <c r="M38" s="6">
        <f>($Q$7*kg!M3)+($R$7*L38)</f>
        <v>12980.778267692829</v>
      </c>
    </row>
    <row r="39" spans="1:13" x14ac:dyDescent="0.3">
      <c r="A39" s="6" t="str">
        <f t="shared" si="14"/>
        <v>Oil A 200 LT</v>
      </c>
      <c r="B39" s="6">
        <f t="shared" si="14"/>
        <v>459915.78</v>
      </c>
      <c r="C39" s="6">
        <f>($Q$7*kg!C4)+($R$7*B39)</f>
        <v>416029.26600000006</v>
      </c>
      <c r="D39" s="6">
        <f>($Q$7*kg!D4)+($R$7*C39)</f>
        <v>397276.06579999998</v>
      </c>
      <c r="E39" s="6">
        <f>($Q$7*kg!E4)+($R$7*D39)</f>
        <v>473315.68973999994</v>
      </c>
      <c r="F39" s="6">
        <f>($Q$7*kg!F4)+($R$7*E39)</f>
        <v>282750.41292199999</v>
      </c>
      <c r="G39" s="6">
        <f>($Q$7*kg!G4)+($R$7*F39)</f>
        <v>349615.38387659995</v>
      </c>
      <c r="H39" s="6">
        <f>($Q$7*kg!H4)+($R$7*G39)</f>
        <v>429319.69116297999</v>
      </c>
      <c r="I39" s="6">
        <f>($Q$7*kg!I4)+($R$7*H39)</f>
        <v>487098.509348894</v>
      </c>
      <c r="J39" s="6">
        <f>($Q$7*kg!J4)+($R$7*I39)</f>
        <v>505348.69280466822</v>
      </c>
      <c r="K39" s="6">
        <f>($Q$7*kg!K4)+($R$7*J39)</f>
        <v>519611.02984140045</v>
      </c>
      <c r="L39" s="6">
        <f>($Q$7*kg!L4)+($R$7*K39)</f>
        <v>492381.68095242011</v>
      </c>
      <c r="M39" s="6">
        <f>($Q$7*kg!M4)+($R$7*L39)</f>
        <v>447687.35228572605</v>
      </c>
    </row>
    <row r="40" spans="1:13" x14ac:dyDescent="0.3">
      <c r="A40" s="6" t="str">
        <f t="shared" si="14"/>
        <v>Oil A 1000 LT</v>
      </c>
      <c r="B40" s="6">
        <f t="shared" si="14"/>
        <v>23458.3</v>
      </c>
      <c r="C40" s="6">
        <f>($Q$7*kg!C5)+($R$7*B40)</f>
        <v>36589.109999999993</v>
      </c>
      <c r="D40" s="6">
        <f>($Q$7*kg!D5)+($R$7*C40)</f>
        <v>31103.062999999998</v>
      </c>
      <c r="E40" s="6">
        <f>($Q$7*kg!E5)+($R$7*D40)</f>
        <v>36894.748899999999</v>
      </c>
      <c r="F40" s="6">
        <f>($Q$7*kg!F5)+($R$7*E40)</f>
        <v>27771.544670000003</v>
      </c>
      <c r="G40" s="6">
        <f>($Q$7*kg!G5)+($R$7*F40)</f>
        <v>48383.293401000003</v>
      </c>
      <c r="H40" s="6">
        <f>($Q$7*kg!H5)+($R$7*G40)</f>
        <v>73130.678020299994</v>
      </c>
      <c r="I40" s="6">
        <f>($Q$7*kg!I5)+($R$7*H40)</f>
        <v>59776.443406089995</v>
      </c>
      <c r="J40" s="6">
        <f>($Q$7*kg!J5)+($R$7*I40)</f>
        <v>25818.083021826998</v>
      </c>
      <c r="K40" s="6">
        <f>($Q$7*kg!K5)+($R$7*J40)</f>
        <v>24695.924906548102</v>
      </c>
      <c r="L40" s="6">
        <f>($Q$7*kg!L5)+($R$7*K40)</f>
        <v>26211.197471964428</v>
      </c>
      <c r="M40" s="6">
        <f>($Q$7*kg!M5)+($R$7*L40)</f>
        <v>31560.249241589325</v>
      </c>
    </row>
    <row r="41" spans="1:13" x14ac:dyDescent="0.3">
      <c r="A41" s="6" t="str">
        <f t="shared" si="14"/>
        <v>Oil B 20 LT</v>
      </c>
      <c r="B41" s="6">
        <f t="shared" si="14"/>
        <v>4698.6499999999996</v>
      </c>
      <c r="C41" s="6">
        <f>($Q$7*kg!C6)+($R$7*B41)</f>
        <v>7461.0950000000003</v>
      </c>
      <c r="D41" s="6">
        <f>($Q$7*kg!D6)+($R$7*C41)</f>
        <v>7830.9435000000003</v>
      </c>
      <c r="E41" s="6">
        <f>($Q$7*kg!E6)+($R$7*D41)</f>
        <v>6929.7750500000002</v>
      </c>
      <c r="F41" s="6">
        <f>($Q$7*kg!F6)+($R$7*E41)</f>
        <v>34067.252515</v>
      </c>
      <c r="G41" s="6">
        <f>($Q$7*kg!G6)+($R$7*F41)</f>
        <v>15080.289754500001</v>
      </c>
      <c r="H41" s="6">
        <f>($Q$7*kg!H6)+($R$7*G41)</f>
        <v>10563.48392635</v>
      </c>
      <c r="I41" s="6">
        <f>($Q$7*kg!I6)+($R$7*H41)</f>
        <v>15204.845177904999</v>
      </c>
      <c r="J41" s="6">
        <f>($Q$7*kg!J6)+($R$7*I41)</f>
        <v>16630.8535533715</v>
      </c>
      <c r="K41" s="6">
        <f>($Q$7*kg!K6)+($R$7*J41)</f>
        <v>29606.296066011448</v>
      </c>
      <c r="L41" s="6">
        <f>($Q$7*kg!L6)+($R$7*K41)</f>
        <v>13462.268819803436</v>
      </c>
      <c r="M41" s="6">
        <f>($Q$7*kg!M6)+($R$7*L41)</f>
        <v>9919.7586459410322</v>
      </c>
    </row>
    <row r="42" spans="1:13" x14ac:dyDescent="0.3">
      <c r="A42" s="6" t="str">
        <f t="shared" si="14"/>
        <v>Oil B 200 LT</v>
      </c>
      <c r="B42" s="6">
        <f t="shared" si="14"/>
        <v>1033.08</v>
      </c>
      <c r="C42" s="6">
        <f>($Q$7*kg!C7)+($R$7*B42)</f>
        <v>18144.481999999996</v>
      </c>
      <c r="D42" s="6">
        <f>($Q$7*kg!D7)+($R$7*C42)</f>
        <v>19091.258599999997</v>
      </c>
      <c r="E42" s="6">
        <f>($Q$7*kg!E7)+($R$7*D42)</f>
        <v>18926.507580000001</v>
      </c>
      <c r="F42" s="6">
        <f>($Q$7*kg!F7)+($R$7*E42)</f>
        <v>24474.072273999998</v>
      </c>
      <c r="G42" s="6">
        <f>($Q$7*kg!G7)+($R$7*F42)</f>
        <v>19570.024682200001</v>
      </c>
      <c r="H42" s="6">
        <f>($Q$7*kg!H7)+($R$7*G42)</f>
        <v>43221.775404659995</v>
      </c>
      <c r="I42" s="6">
        <f>($Q$7*kg!I7)+($R$7*H42)</f>
        <v>35347.814621398</v>
      </c>
      <c r="J42" s="6">
        <f>($Q$7*kg!J7)+($R$7*I42)</f>
        <v>30570.304386419401</v>
      </c>
      <c r="K42" s="6">
        <f>($Q$7*kg!K7)+($R$7*J42)</f>
        <v>44925.873315925819</v>
      </c>
      <c r="L42" s="6">
        <f>($Q$7*kg!L7)+($R$7*K42)</f>
        <v>48582.677994777747</v>
      </c>
      <c r="M42" s="6">
        <f>($Q$7*kg!M7)+($R$7*L42)</f>
        <v>44602.997398433319</v>
      </c>
    </row>
    <row r="43" spans="1:13" x14ac:dyDescent="0.3">
      <c r="A43" s="6">
        <v>0.8</v>
      </c>
      <c r="B43" s="6" t="str">
        <f t="shared" ref="B43:M43" si="15">B37</f>
        <v>T1</v>
      </c>
      <c r="C43" s="6" t="str">
        <f t="shared" si="15"/>
        <v>T2</v>
      </c>
      <c r="D43" s="6" t="str">
        <f t="shared" si="15"/>
        <v>T3</v>
      </c>
      <c r="E43" s="6" t="str">
        <f t="shared" si="15"/>
        <v>T4</v>
      </c>
      <c r="F43" s="6" t="str">
        <f t="shared" si="15"/>
        <v>T5</v>
      </c>
      <c r="G43" s="6" t="str">
        <f t="shared" si="15"/>
        <v>T6</v>
      </c>
      <c r="H43" s="6" t="str">
        <f t="shared" si="15"/>
        <v>T7</v>
      </c>
      <c r="I43" s="6" t="str">
        <f t="shared" si="15"/>
        <v>T8</v>
      </c>
      <c r="J43" s="6" t="str">
        <f t="shared" si="15"/>
        <v>T9</v>
      </c>
      <c r="K43" s="6" t="str">
        <f t="shared" si="15"/>
        <v>T10</v>
      </c>
      <c r="L43" s="6" t="str">
        <f t="shared" si="15"/>
        <v>T11</v>
      </c>
      <c r="M43" s="6" t="str">
        <f t="shared" si="15"/>
        <v>T12</v>
      </c>
    </row>
    <row r="44" spans="1:13" x14ac:dyDescent="0.3">
      <c r="A44" s="6" t="str">
        <f t="shared" ref="A44:B48" si="16">A38</f>
        <v>Oil A 20 LT</v>
      </c>
      <c r="B44" s="6">
        <f t="shared" si="16"/>
        <v>12588.09</v>
      </c>
      <c r="C44" s="6">
        <f>($Q$8*kg!C3)+($R$8*B44)</f>
        <v>6349.4180000000006</v>
      </c>
      <c r="D44" s="6">
        <f>($Q$8*kg!D3)+($R$8*C44)</f>
        <v>18090.5556</v>
      </c>
      <c r="E44" s="6">
        <f>($Q$8*kg!E3)+($R$8*D44)</f>
        <v>12498.887119999999</v>
      </c>
      <c r="F44" s="6">
        <f>($Q$8*kg!F3)+($R$8*E44)</f>
        <v>9776.3054240000001</v>
      </c>
      <c r="G44" s="6">
        <f>($Q$8*kg!G3)+($R$8*F44)</f>
        <v>8503.5490848000009</v>
      </c>
      <c r="H44" s="6">
        <f>($Q$8*kg!H3)+($R$8*G44)</f>
        <v>16313.029816960001</v>
      </c>
      <c r="I44" s="6">
        <f>($Q$8*kg!I3)+($R$8*H44)</f>
        <v>12098.349963392</v>
      </c>
      <c r="J44" s="6">
        <f>($Q$8*kg!J3)+($R$8*I44)</f>
        <v>11131.3099926784</v>
      </c>
      <c r="K44" s="6">
        <f>($Q$8*kg!K3)+($R$8*J44)</f>
        <v>8951.3339985356797</v>
      </c>
      <c r="L44" s="6">
        <f>($Q$8*kg!L3)+($R$8*K44)</f>
        <v>16310.226799707136</v>
      </c>
      <c r="M44" s="6">
        <f>($Q$8*kg!M3)+($R$8*L44)</f>
        <v>12786.357359941427</v>
      </c>
    </row>
    <row r="45" spans="1:13" x14ac:dyDescent="0.3">
      <c r="A45" s="6" t="str">
        <f t="shared" si="16"/>
        <v>Oil A 200 LT</v>
      </c>
      <c r="B45" s="6">
        <f t="shared" si="16"/>
        <v>459915.78</v>
      </c>
      <c r="C45" s="6">
        <f>($Q$8*kg!C4)+($R$8*B45)</f>
        <v>409759.76400000002</v>
      </c>
      <c r="D45" s="6">
        <f>($Q$8*kg!D4)+($R$8*C45)</f>
        <v>393343.13679999998</v>
      </c>
      <c r="E45" s="6">
        <f>($Q$8*kg!E4)+($R$8*D45)</f>
        <v>483391.90736000001</v>
      </c>
      <c r="F45" s="6">
        <f>($Q$8*kg!F4)+($R$8*E45)</f>
        <v>257542.04547200003</v>
      </c>
      <c r="G45" s="6">
        <f>($Q$8*kg!G4)+($R$8*F45)</f>
        <v>354125.84909439995</v>
      </c>
      <c r="H45" s="6">
        <f>($Q$8*kg!H4)+($R$8*G45)</f>
        <v>441608.11381887994</v>
      </c>
      <c r="I45" s="6">
        <f>($Q$8*kg!I4)+($R$8*H45)</f>
        <v>497810.31076377595</v>
      </c>
      <c r="J45" s="6">
        <f>($Q$8*kg!J4)+($R$8*I45)</f>
        <v>510098.22215275519</v>
      </c>
      <c r="K45" s="6">
        <f>($Q$8*kg!K4)+($R$8*J45)</f>
        <v>522598.41243055102</v>
      </c>
      <c r="L45" s="6">
        <f>($Q$8*kg!L4)+($R$8*K45)</f>
        <v>489089.25048611022</v>
      </c>
      <c r="M45" s="6">
        <f>($Q$8*kg!M4)+($R$8*L45)</f>
        <v>440643.96209722204</v>
      </c>
    </row>
    <row r="46" spans="1:13" x14ac:dyDescent="0.3">
      <c r="A46" s="6" t="str">
        <f t="shared" si="16"/>
        <v>Oil A 1000 LT</v>
      </c>
      <c r="B46" s="6">
        <f t="shared" si="16"/>
        <v>23458.3</v>
      </c>
      <c r="C46" s="6">
        <f>($Q$8*kg!C5)+($R$8*B46)</f>
        <v>38464.94</v>
      </c>
      <c r="D46" s="6">
        <f>($Q$8*kg!D5)+($R$8*C46)</f>
        <v>30694.508000000002</v>
      </c>
      <c r="E46" s="6">
        <f>($Q$8*kg!E5)+($R$8*D46)</f>
        <v>37640.421600000001</v>
      </c>
      <c r="F46" s="6">
        <f>($Q$8*kg!F5)+($R$8*E46)</f>
        <v>26617.364320000001</v>
      </c>
      <c r="G46" s="6">
        <f>($Q$8*kg!G5)+($R$8*F46)</f>
        <v>51096.992864</v>
      </c>
      <c r="H46" s="6">
        <f>($Q$8*kg!H5)+($R$8*G46)</f>
        <v>77208.758572799983</v>
      </c>
      <c r="I46" s="6">
        <f>($Q$8*kg!I5)+($R$8*H46)</f>
        <v>58684.311714559997</v>
      </c>
      <c r="J46" s="6">
        <f>($Q$8*kg!J5)+($R$8*I46)</f>
        <v>20748.462342912004</v>
      </c>
      <c r="K46" s="6">
        <f>($Q$8*kg!K5)+($R$8*J46)</f>
        <v>23521.692468582401</v>
      </c>
      <c r="L46" s="6">
        <f>($Q$8*kg!L5)+($R$8*K46)</f>
        <v>26192.818493716477</v>
      </c>
      <c r="M46" s="6">
        <f>($Q$8*kg!M5)+($R$8*L46)</f>
        <v>32320.723698743292</v>
      </c>
    </row>
    <row r="47" spans="1:13" x14ac:dyDescent="0.3">
      <c r="A47" s="6" t="str">
        <f t="shared" si="16"/>
        <v>Oil B 20 LT</v>
      </c>
      <c r="B47" s="6">
        <f t="shared" si="16"/>
        <v>4698.6499999999996</v>
      </c>
      <c r="C47" s="6">
        <f>($Q$8*kg!C6)+($R$8*B47)</f>
        <v>7855.73</v>
      </c>
      <c r="D47" s="6">
        <f>($Q$8*kg!D6)+($R$8*C47)</f>
        <v>7962.7060000000001</v>
      </c>
      <c r="E47" s="6">
        <f>($Q$8*kg!E6)+($R$8*D47)</f>
        <v>6827.3892000000005</v>
      </c>
      <c r="F47" s="6">
        <f>($Q$8*kg!F6)+($R$8*E47)</f>
        <v>37923.557839999994</v>
      </c>
      <c r="G47" s="6">
        <f>($Q$8*kg!G6)+($R$8*F47)</f>
        <v>13139.127568000002</v>
      </c>
      <c r="H47" s="6">
        <f>($Q$8*kg!H6)+($R$8*G47)</f>
        <v>9529.9935136000004</v>
      </c>
      <c r="I47" s="6">
        <f>($Q$8*kg!I6)+($R$8*H47)</f>
        <v>15661.198702719999</v>
      </c>
      <c r="J47" s="6">
        <f>($Q$8*kg!J6)+($R$8*I47)</f>
        <v>16925.839740544001</v>
      </c>
      <c r="K47" s="6">
        <f>($Q$8*kg!K6)+($R$8*J47)</f>
        <v>31518.927948108794</v>
      </c>
      <c r="L47" s="6">
        <f>($Q$8*kg!L6)+($R$8*K47)</f>
        <v>11538.50558962176</v>
      </c>
      <c r="M47" s="6">
        <f>($Q$8*kg!M6)+($R$8*L47)</f>
        <v>9028.9331179243527</v>
      </c>
    </row>
    <row r="48" spans="1:13" x14ac:dyDescent="0.3">
      <c r="A48" s="6" t="str">
        <f t="shared" si="16"/>
        <v>Oil B 200 LT</v>
      </c>
      <c r="B48" s="6">
        <f t="shared" si="16"/>
        <v>1033.08</v>
      </c>
      <c r="C48" s="6">
        <f>($Q$8*kg!C7)+($R$8*B48)</f>
        <v>20588.968000000001</v>
      </c>
      <c r="D48" s="6">
        <f>($Q$8*kg!D7)+($R$8*C48)</f>
        <v>19715.409599999999</v>
      </c>
      <c r="E48" s="6">
        <f>($Q$8*kg!E7)+($R$8*D48)</f>
        <v>19027.801920000002</v>
      </c>
      <c r="F48" s="6">
        <f>($Q$8*kg!F7)+($R$8*E48)</f>
        <v>25286.840383999999</v>
      </c>
      <c r="G48" s="6">
        <f>($Q$8*kg!G7)+($R$8*F48)</f>
        <v>19032.000076800003</v>
      </c>
      <c r="H48" s="6">
        <f>($Q$8*kg!H7)+($R$8*G48)</f>
        <v>46492.992015359996</v>
      </c>
      <c r="I48" s="6">
        <f>($Q$8*kg!I7)+($R$8*H48)</f>
        <v>34877.206403071999</v>
      </c>
      <c r="J48" s="6">
        <f>($Q$8*kg!J7)+($R$8*I48)</f>
        <v>29793.681280614401</v>
      </c>
      <c r="K48" s="6">
        <f>($Q$8*kg!K7)+($R$8*J48)</f>
        <v>46821.34425612288</v>
      </c>
      <c r="L48" s="6">
        <f>($Q$8*kg!L7)+($R$8*K48)</f>
        <v>49484.172851224575</v>
      </c>
      <c r="M48" s="6">
        <f>($Q$8*kg!M7)+($R$8*L48)</f>
        <v>44214.770570244917</v>
      </c>
    </row>
    <row r="49" spans="1:13" x14ac:dyDescent="0.3">
      <c r="A49" s="6">
        <v>0.9</v>
      </c>
      <c r="B49" s="6" t="str">
        <f t="shared" ref="B49:M49" si="17">B43</f>
        <v>T1</v>
      </c>
      <c r="C49" s="6" t="str">
        <f t="shared" si="17"/>
        <v>T2</v>
      </c>
      <c r="D49" s="6" t="str">
        <f t="shared" si="17"/>
        <v>T3</v>
      </c>
      <c r="E49" s="6" t="str">
        <f t="shared" si="17"/>
        <v>T4</v>
      </c>
      <c r="F49" s="6" t="str">
        <f t="shared" si="17"/>
        <v>T5</v>
      </c>
      <c r="G49" s="6" t="str">
        <f t="shared" si="17"/>
        <v>T6</v>
      </c>
      <c r="H49" s="6" t="str">
        <f t="shared" si="17"/>
        <v>T7</v>
      </c>
      <c r="I49" s="6" t="str">
        <f t="shared" si="17"/>
        <v>T8</v>
      </c>
      <c r="J49" s="6" t="str">
        <f t="shared" si="17"/>
        <v>T9</v>
      </c>
      <c r="K49" s="6" t="str">
        <f t="shared" si="17"/>
        <v>T10</v>
      </c>
      <c r="L49" s="6" t="str">
        <f t="shared" si="17"/>
        <v>T11</v>
      </c>
      <c r="M49" s="6" t="str">
        <f t="shared" si="17"/>
        <v>T12</v>
      </c>
    </row>
    <row r="50" spans="1:13" x14ac:dyDescent="0.3">
      <c r="A50" s="6" t="str">
        <f t="shared" ref="A50:B54" si="18">A44</f>
        <v>Oil A 20 LT</v>
      </c>
      <c r="B50" s="6">
        <f t="shared" si="18"/>
        <v>12588.09</v>
      </c>
      <c r="C50" s="6">
        <f>($Q$9*kg!C3)+($R$9*B50)</f>
        <v>5569.5840000000007</v>
      </c>
      <c r="D50" s="6">
        <f>($Q$9*kg!D3)+($R$9*C50)</f>
        <v>19480.214399999997</v>
      </c>
      <c r="E50" s="6">
        <f>($Q$9*kg!E3)+($R$9*D50)</f>
        <v>11938.89444</v>
      </c>
      <c r="F50" s="6">
        <f>($Q$9*kg!F3)+($R$9*E50)</f>
        <v>9379.9834439999995</v>
      </c>
      <c r="G50" s="6">
        <f>($Q$9*kg!G3)+($R$9*F50)</f>
        <v>8304.8223443999996</v>
      </c>
      <c r="H50" s="6">
        <f>($Q$9*kg!H3)+($R$9*G50)</f>
        <v>17269.342234440002</v>
      </c>
      <c r="I50" s="6">
        <f>($Q$9*kg!I3)+($R$9*H50)</f>
        <v>11667.146223444</v>
      </c>
      <c r="J50" s="6">
        <f>($Q$9*kg!J3)+($R$9*I50)</f>
        <v>10967.309622344399</v>
      </c>
      <c r="K50" s="6">
        <f>($Q$9*kg!K3)+($R$9*J50)</f>
        <v>8662.4369622344402</v>
      </c>
      <c r="L50" s="6">
        <f>($Q$9*kg!L3)+($R$9*K50)</f>
        <v>17201.198696223444</v>
      </c>
      <c r="M50" s="6">
        <f>($Q$9*kg!M3)+($R$9*L50)</f>
        <v>12434.970869622344</v>
      </c>
    </row>
    <row r="51" spans="1:13" x14ac:dyDescent="0.3">
      <c r="A51" s="6" t="str">
        <f t="shared" si="18"/>
        <v>Oil A 200 LT</v>
      </c>
      <c r="B51" s="6">
        <f t="shared" si="18"/>
        <v>459915.78</v>
      </c>
      <c r="C51" s="6">
        <f>($Q$9*kg!C4)+($R$9*B51)</f>
        <v>403490.26199999999</v>
      </c>
      <c r="D51" s="6">
        <f>($Q$9*kg!D4)+($R$9*C51)</f>
        <v>390664.10819999996</v>
      </c>
      <c r="E51" s="6">
        <f>($Q$9*kg!E4)+($R$9*D51)</f>
        <v>494380.10081999999</v>
      </c>
      <c r="F51" s="6">
        <f>($Q$9*kg!F4)+($R$9*E51)</f>
        <v>230409.63208200003</v>
      </c>
      <c r="G51" s="6">
        <f>($Q$9*kg!G4)+($R$9*F51)</f>
        <v>363485.58320819994</v>
      </c>
      <c r="H51" s="6">
        <f>($Q$9*kg!H4)+($R$9*G51)</f>
        <v>453479.37032082002</v>
      </c>
      <c r="I51" s="6">
        <f>($Q$9*kg!I4)+($R$9*H51)</f>
        <v>506022.71103208198</v>
      </c>
      <c r="J51" s="6">
        <f>($Q$9*kg!J4)+($R$9*I51)</f>
        <v>512455.45110320824</v>
      </c>
      <c r="K51" s="6">
        <f>($Q$9*kg!K4)+($R$9*J51)</f>
        <v>524396.65911032085</v>
      </c>
      <c r="L51" s="6">
        <f>($Q$9*kg!L4)+($R$9*K51)</f>
        <v>485080.42991103209</v>
      </c>
      <c r="M51" s="6">
        <f>($Q$9*kg!M4)+($R$9*L51)</f>
        <v>434187.41899110324</v>
      </c>
    </row>
    <row r="52" spans="1:13" x14ac:dyDescent="0.3">
      <c r="A52" s="6" t="str">
        <f t="shared" si="18"/>
        <v>Oil A 1000 LT</v>
      </c>
      <c r="B52" s="6">
        <f t="shared" si="18"/>
        <v>23458.3</v>
      </c>
      <c r="C52" s="6">
        <f>($Q$9*kg!C5)+($R$9*B52)</f>
        <v>40340.769999999997</v>
      </c>
      <c r="D52" s="6">
        <f>($Q$9*kg!D5)+($R$9*C52)</f>
        <v>29910.787000000004</v>
      </c>
      <c r="E52" s="6">
        <f>($Q$9*kg!E5)+($R$9*D52)</f>
        <v>38430.288700000005</v>
      </c>
      <c r="F52" s="6">
        <f>($Q$9*kg!F5)+($R$9*E52)</f>
        <v>25318.468869999997</v>
      </c>
      <c r="G52" s="6">
        <f>($Q$9*kg!G5)+($R$9*F52)</f>
        <v>54027.056886999999</v>
      </c>
      <c r="H52" s="6">
        <f>($Q$9*kg!H5)+($R$9*G52)</f>
        <v>80765.735688699991</v>
      </c>
      <c r="I52" s="6">
        <f>($Q$9*kg!I5)+($R$9*H52)</f>
        <v>56724.453568869998</v>
      </c>
      <c r="J52" s="6">
        <f>($Q$9*kg!J5)+($R$9*I52)</f>
        <v>15810.495356887004</v>
      </c>
      <c r="K52" s="6">
        <f>($Q$9*kg!K5)+($R$9*J52)</f>
        <v>23374.549535688697</v>
      </c>
      <c r="L52" s="6">
        <f>($Q$9*kg!L5)+($R$9*K52)</f>
        <v>26511.994953568868</v>
      </c>
      <c r="M52" s="6">
        <f>($Q$9*kg!M5)+($R$9*L52)</f>
        <v>33118.629495356879</v>
      </c>
    </row>
    <row r="53" spans="1:13" x14ac:dyDescent="0.3">
      <c r="A53" s="6" t="str">
        <f t="shared" si="18"/>
        <v>Oil B 20 LT</v>
      </c>
      <c r="B53" s="6">
        <f t="shared" si="18"/>
        <v>4698.6499999999996</v>
      </c>
      <c r="C53" s="6">
        <f>($Q$9*kg!C6)+($R$9*B53)</f>
        <v>8250.3649999999998</v>
      </c>
      <c r="D53" s="6">
        <f>($Q$9*kg!D6)+($R$9*C53)</f>
        <v>8015.5415000000003</v>
      </c>
      <c r="E53" s="6">
        <f>($Q$9*kg!E6)+($R$9*D53)</f>
        <v>6690.7581500000006</v>
      </c>
      <c r="F53" s="6">
        <f>($Q$9*kg!F6)+($R$9*E53)</f>
        <v>41796.915815</v>
      </c>
      <c r="G53" s="6">
        <f>($Q$9*kg!G6)+($R$9*F53)</f>
        <v>10428.409581500004</v>
      </c>
      <c r="H53" s="6">
        <f>($Q$9*kg!H6)+($R$9*G53)</f>
        <v>8807.7799581500003</v>
      </c>
      <c r="I53" s="6">
        <f>($Q$9*kg!I6)+($R$9*H53)</f>
        <v>16355.377995814999</v>
      </c>
      <c r="J53" s="6">
        <f>($Q$9*kg!J6)+($R$9*I53)</f>
        <v>17153.337799581499</v>
      </c>
      <c r="K53" s="6">
        <f>($Q$9*kg!K6)+($R$9*J53)</f>
        <v>33365.813779958145</v>
      </c>
      <c r="L53" s="6">
        <f>($Q$9*kg!L6)+($R$9*K53)</f>
        <v>9225.6413779958166</v>
      </c>
      <c r="M53" s="6">
        <f>($Q$9*kg!M6)+($R$9*L53)</f>
        <v>8483.9501377995821</v>
      </c>
    </row>
    <row r="54" spans="1:13" x14ac:dyDescent="0.3">
      <c r="A54" s="6" t="str">
        <f t="shared" si="18"/>
        <v>Oil B 200 LT</v>
      </c>
      <c r="B54" s="6">
        <f t="shared" si="18"/>
        <v>1033.08</v>
      </c>
      <c r="C54" s="6">
        <f>($Q$9*kg!C7)+($R$9*B54)</f>
        <v>23033.453999999998</v>
      </c>
      <c r="D54" s="6">
        <f>($Q$9*kg!D7)+($R$9*C54)</f>
        <v>19850.663400000001</v>
      </c>
      <c r="E54" s="6">
        <f>($Q$9*kg!E7)+($R$9*D54)</f>
        <v>18955.376340000003</v>
      </c>
      <c r="F54" s="6">
        <f>($Q$9*kg!F7)+($R$9*E54)</f>
        <v>26061.977633999995</v>
      </c>
      <c r="G54" s="6">
        <f>($Q$9*kg!G7)+($R$9*F54)</f>
        <v>18327.658763400002</v>
      </c>
      <c r="H54" s="6">
        <f>($Q$9*kg!H7)+($R$9*G54)</f>
        <v>49855.181876339993</v>
      </c>
      <c r="I54" s="6">
        <f>($Q$9*kg!I7)+($R$9*H54)</f>
        <v>33761.452187634</v>
      </c>
      <c r="J54" s="6">
        <f>($Q$9*kg!J7)+($R$9*I54)</f>
        <v>29046.665218763399</v>
      </c>
      <c r="K54" s="6">
        <f>($Q$9*kg!K7)+($R$9*J54)</f>
        <v>48875.100521876338</v>
      </c>
      <c r="L54" s="6">
        <f>($Q$9*kg!L7)+($R$9*K54)</f>
        <v>50022.40205218763</v>
      </c>
      <c r="M54" s="6">
        <f>($Q$9*kg!M7)+($R$9*L54)</f>
        <v>43609.918205218761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8A741-DACD-470A-B89C-61B738339DBA}">
  <dimension ref="A1:Y54"/>
  <sheetViews>
    <sheetView workbookViewId="0">
      <selection activeCell="N22" sqref="N22"/>
    </sheetView>
  </sheetViews>
  <sheetFormatPr defaultColWidth="8.88671875" defaultRowHeight="14.4" x14ac:dyDescent="0.3"/>
  <cols>
    <col min="1" max="1" width="14.109375" style="1" bestFit="1" customWidth="1"/>
    <col min="2" max="2" width="10" style="1" bestFit="1" customWidth="1"/>
    <col min="3" max="13" width="12" style="1" bestFit="1" customWidth="1"/>
    <col min="14" max="25" width="9.44140625" style="1" bestFit="1" customWidth="1"/>
    <col min="26" max="16384" width="8.88671875" style="1"/>
  </cols>
  <sheetData>
    <row r="1" spans="1:18" x14ac:dyDescent="0.3">
      <c r="A1" s="3">
        <f>Q1</f>
        <v>0.1</v>
      </c>
      <c r="B1" s="3" t="str">
        <f>'Single Exponen'!B1</f>
        <v>T1</v>
      </c>
      <c r="C1" s="3" t="str">
        <f>'Single Exponen'!C1</f>
        <v>T2</v>
      </c>
      <c r="D1" s="3" t="str">
        <f>'Single Exponen'!D1</f>
        <v>T3</v>
      </c>
      <c r="E1" s="3" t="str">
        <f>'Single Exponen'!E1</f>
        <v>T4</v>
      </c>
      <c r="F1" s="3" t="str">
        <f>'Single Exponen'!F1</f>
        <v>T5</v>
      </c>
      <c r="G1" s="3" t="str">
        <f>'Single Exponen'!G1</f>
        <v>T6</v>
      </c>
      <c r="H1" s="3" t="str">
        <f>'Single Exponen'!H1</f>
        <v>T7</v>
      </c>
      <c r="I1" s="3" t="str">
        <f>'Single Exponen'!I1</f>
        <v>T8</v>
      </c>
      <c r="J1" s="3" t="str">
        <f>'Single Exponen'!J1</f>
        <v>T9</v>
      </c>
      <c r="K1" s="3" t="str">
        <f>'Single Exponen'!K1</f>
        <v>T10</v>
      </c>
      <c r="L1" s="3" t="str">
        <f>'Single Exponen'!L1</f>
        <v>T11</v>
      </c>
      <c r="M1" s="3" t="str">
        <f>'Single Exponen'!M1</f>
        <v>T12</v>
      </c>
      <c r="Q1" s="1">
        <f>'Single Exponen'!Q1</f>
        <v>0.1</v>
      </c>
      <c r="R1" s="1">
        <f>'Single Exponen'!R1</f>
        <v>0.9</v>
      </c>
    </row>
    <row r="2" spans="1:18" x14ac:dyDescent="0.3">
      <c r="A2" s="3" t="str">
        <f>'Single Exponen'!A2</f>
        <v>Oil A 20 LT</v>
      </c>
      <c r="B2" s="7">
        <f>'Single Exponen'!B2</f>
        <v>12588.09</v>
      </c>
      <c r="C2" s="7">
        <f>($Q$1*'Single Exponen'!C2)+($R$1*B2)</f>
        <v>12510.106600000001</v>
      </c>
      <c r="D2" s="7">
        <f>($Q$1*'Single Exponen'!D2)+($R$1*C2)</f>
        <v>12532.097380000001</v>
      </c>
      <c r="E2" s="7">
        <f>($Q$1*'Single Exponen'!E2)+($R$1*D2)</f>
        <v>12535.598638000001</v>
      </c>
      <c r="F2" s="7">
        <f>($Q$1*'Single Exponen'!F2)+($R$1*E2)</f>
        <v>12504.035270600003</v>
      </c>
      <c r="G2" s="7">
        <f>($Q$1*'Single Exponen'!G2)+($R$1*F2)</f>
        <v>12435.282190300004</v>
      </c>
      <c r="H2" s="7">
        <f>($Q$1*'Single Exponen'!H2)+($R$1*G2)</f>
        <v>12437.893373354003</v>
      </c>
      <c r="I2" s="7">
        <f>($Q$1*'Single Exponen'!I2)+($R$1*H2)</f>
        <v>12426.076297894204</v>
      </c>
      <c r="J2" s="7">
        <f>($Q$1*'Single Exponen'!J2)+($R$1*I2)</f>
        <v>12401.139203792825</v>
      </c>
      <c r="K2" s="7">
        <f>($Q$1*'Single Exponen'!K2)+($R$1*J2)</f>
        <v>12340.99216553278</v>
      </c>
      <c r="L2" s="7">
        <f>($Q$1*'Single Exponen'!L2)+($R$1*K2)</f>
        <v>12350.362642886816</v>
      </c>
      <c r="M2" s="7">
        <f>($Q$1*'Single Exponen'!M2)+($R$1*L2)</f>
        <v>12353.503003114716</v>
      </c>
      <c r="Q2" s="1">
        <v>0.2</v>
      </c>
      <c r="R2" s="1">
        <f t="shared" ref="R2:R7" si="0">1-Q2</f>
        <v>0.8</v>
      </c>
    </row>
    <row r="3" spans="1:18" x14ac:dyDescent="0.3">
      <c r="A3" s="3" t="str">
        <f>'Single Exponen'!A3</f>
        <v>Oil A 200 LT</v>
      </c>
      <c r="B3" s="7">
        <f>'Single Exponen'!B3</f>
        <v>459915.78</v>
      </c>
      <c r="C3" s="7">
        <f>($Q$1*'Single Exponen'!C3)+($R$1*B3)</f>
        <v>459288.82980000007</v>
      </c>
      <c r="D3" s="7">
        <f>($Q$1*'Single Exponen'!D3)+($R$1*C3)</f>
        <v>458080.50164000009</v>
      </c>
      <c r="E3" s="7">
        <f>($Q$1*'Single Exponen'!E3)+($R$1*D3)</f>
        <v>457579.99181400007</v>
      </c>
      <c r="F3" s="7">
        <f>($Q$1*'Single Exponen'!F3)+($R$1*E3)</f>
        <v>454609.57473680004</v>
      </c>
      <c r="G3" s="7">
        <f>($Q$1*'Single Exponen'!G3)+($R$1*F3)</f>
        <v>451440.15915690007</v>
      </c>
      <c r="H3" s="7">
        <f>($Q$1*'Single Exponen'!H3)+($R$1*G3)</f>
        <v>448993.31774561212</v>
      </c>
      <c r="I3" s="7">
        <f>($Q$1*'Single Exponen'!I3)+($R$1*H3)</f>
        <v>447640.05162501271</v>
      </c>
      <c r="J3" s="7">
        <f>($Q$1*'Single Exponen'!J3)+($R$1*I3)</f>
        <v>447199.20755107712</v>
      </c>
      <c r="K3" s="7">
        <f>($Q$1*'Single Exponen'!K3)+($R$1*J3)</f>
        <v>447627.36637567851</v>
      </c>
      <c r="L3" s="7">
        <f>($Q$1*'Single Exponen'!L3)+($R$1*K3)</f>
        <v>448305.02095984883</v>
      </c>
      <c r="M3" s="7">
        <f>($Q$1*'Single Exponen'!M3)+($R$1*L3)</f>
        <v>448656.19736342831</v>
      </c>
      <c r="Q3" s="1">
        <v>0.3</v>
      </c>
      <c r="R3" s="1">
        <f t="shared" si="0"/>
        <v>0.7</v>
      </c>
    </row>
    <row r="4" spans="1:18" x14ac:dyDescent="0.3">
      <c r="A4" s="3" t="str">
        <f>'Single Exponen'!A4</f>
        <v>Oil A 1000 LT</v>
      </c>
      <c r="B4" s="7">
        <f>'Single Exponen'!B4</f>
        <v>23458.3</v>
      </c>
      <c r="C4" s="7">
        <f>($Q$1*'Single Exponen'!C4)+($R$1*B4)</f>
        <v>23645.883000000002</v>
      </c>
      <c r="D4" s="7">
        <f>($Q$1*'Single Exponen'!D4)+($R$1*C4)</f>
        <v>23848.885400000003</v>
      </c>
      <c r="E4" s="7">
        <f>($Q$1*'Single Exponen'!E4)+($R$1*D4)</f>
        <v>24168.597490000004</v>
      </c>
      <c r="F4" s="7">
        <f>($Q$1*'Single Exponen'!F4)+($R$1*E4)</f>
        <v>24424.494308000005</v>
      </c>
      <c r="G4" s="7">
        <f>($Q$1*'Single Exponen'!G4)+($R$1*F4)</f>
        <v>24959.694787500004</v>
      </c>
      <c r="H4" s="7">
        <f>($Q$1*'Single Exponen'!H4)+($R$1*G4)</f>
        <v>25980.977228020005</v>
      </c>
      <c r="I4" s="7">
        <f>($Q$1*'Single Exponen'!I4)+($R$1*H4)</f>
        <v>27088.938232561006</v>
      </c>
      <c r="J4" s="7">
        <f>($Q$1*'Single Exponen'!J4)+($R$1*I4)</f>
        <v>27828.142263913607</v>
      </c>
      <c r="K4" s="7">
        <f>($Q$1*'Single Exponen'!K4)+($R$1*J4)</f>
        <v>28390.766106670075</v>
      </c>
      <c r="L4" s="7">
        <f>($Q$1*'Single Exponen'!L4)+($R$1*K4)</f>
        <v>28831.189758236116</v>
      </c>
      <c r="M4" s="7">
        <f>($Q$1*'Single Exponen'!M4)+($R$1*L4)</f>
        <v>29238.148018422249</v>
      </c>
      <c r="Q4" s="1">
        <v>0.4</v>
      </c>
      <c r="R4" s="1">
        <f t="shared" si="0"/>
        <v>0.6</v>
      </c>
    </row>
    <row r="5" spans="1:18" x14ac:dyDescent="0.3">
      <c r="A5" s="3" t="str">
        <f>'Single Exponen'!A5</f>
        <v>Oil B 20 LT</v>
      </c>
      <c r="B5" s="7">
        <f>'Single Exponen'!B5</f>
        <v>4698.6499999999996</v>
      </c>
      <c r="C5" s="7">
        <f>($Q$1*'Single Exponen'!C5)+($R$1*B5)</f>
        <v>4738.1134999999995</v>
      </c>
      <c r="D5" s="7">
        <f>($Q$1*'Single Exponen'!D5)+($R$1*C5)</f>
        <v>4802.5922999999993</v>
      </c>
      <c r="E5" s="7">
        <f>($Q$1*'Single Exponen'!E5)+($R$1*D5)</f>
        <v>4872.2298049999999</v>
      </c>
      <c r="F5" s="7">
        <f>($Q$1*'Single Exponen'!F5)+($R$1*E5)</f>
        <v>5336.8898859999999</v>
      </c>
      <c r="G5" s="7">
        <f>($Q$1*'Single Exponen'!G5)+($R$1*F5)</f>
        <v>5729.3258527500002</v>
      </c>
      <c r="H5" s="7">
        <f>($Q$1*'Single Exponen'!H5)+($R$1*G5)</f>
        <v>6076.1828272900002</v>
      </c>
      <c r="I5" s="7">
        <f>($Q$1*'Single Exponen'!I5)+($R$1*H5)</f>
        <v>6468.3151483945012</v>
      </c>
      <c r="J5" s="7">
        <f>($Q$1*'Single Exponen'!J5)+($R$1*I5)</f>
        <v>6893.6791770052014</v>
      </c>
      <c r="K5" s="7">
        <f>($Q$1*'Single Exponen'!K5)+($R$1*J5)</f>
        <v>7520.9592484098166</v>
      </c>
      <c r="L5" s="7">
        <f>($Q$1*'Single Exponen'!L5)+($R$1*K5)</f>
        <v>8019.2805137634568</v>
      </c>
      <c r="M5" s="7">
        <f>($Q$1*'Single Exponen'!M5)+($R$1*L5)</f>
        <v>8426.7433335622718</v>
      </c>
      <c r="Q5" s="1">
        <v>0.5</v>
      </c>
      <c r="R5" s="1">
        <f t="shared" si="0"/>
        <v>0.5</v>
      </c>
    </row>
    <row r="6" spans="1:18" x14ac:dyDescent="0.3">
      <c r="A6" s="3" t="str">
        <f>'Single Exponen'!A6</f>
        <v>Oil B 200 LT</v>
      </c>
      <c r="B6" s="7">
        <f>'Single Exponen'!B6</f>
        <v>1033.08</v>
      </c>
      <c r="C6" s="7">
        <f>($Q$1*'Single Exponen'!C6)+($R$1*B6)</f>
        <v>1277.5285999999999</v>
      </c>
      <c r="D6" s="7">
        <f>($Q$1*'Single Exponen'!D6)+($R$1*C6)</f>
        <v>1657.7268799999999</v>
      </c>
      <c r="E6" s="7">
        <f>($Q$1*'Single Exponen'!E6)+($R$1*D6)</f>
        <v>2137.669218</v>
      </c>
      <c r="F6" s="7">
        <f>($Q$1*'Single Exponen'!F6)+($R$1*E6)</f>
        <v>2773.5618196000005</v>
      </c>
      <c r="G6" s="7">
        <f>($Q$1*'Single Exponen'!G6)+($R$1*F6)</f>
        <v>3435.5821087000004</v>
      </c>
      <c r="H6" s="7">
        <f>($Q$1*'Single Exponen'!H6)+($R$1*G6)</f>
        <v>4471.0451217840009</v>
      </c>
      <c r="I6" s="7">
        <f>($Q$1*'Single Exponen'!I6)+($R$1*H6)</f>
        <v>5584.7923111642012</v>
      </c>
      <c r="J6" s="7">
        <f>($Q$1*'Single Exponen'!J6)+($R$1*I6)</f>
        <v>6716.3076114505211</v>
      </c>
      <c r="K6" s="7">
        <f>($Q$1*'Single Exponen'!K6)+($R$1*J6)</f>
        <v>8076.454528567936</v>
      </c>
      <c r="L6" s="7">
        <f>($Q$1*'Single Exponen'!L6)+($R$1*K6)</f>
        <v>9598.9077861473634</v>
      </c>
      <c r="M6" s="7">
        <f>($Q$1*'Single Exponen'!M6)+($R$1*L6)</f>
        <v>11165.080046925226</v>
      </c>
      <c r="Q6" s="1">
        <v>0.6</v>
      </c>
      <c r="R6" s="1">
        <f t="shared" si="0"/>
        <v>0.4</v>
      </c>
    </row>
    <row r="7" spans="1:18" x14ac:dyDescent="0.3">
      <c r="A7" s="1">
        <f>Q2</f>
        <v>0.2</v>
      </c>
      <c r="B7" s="1" t="str">
        <f t="shared" ref="B7:M7" si="1">B1</f>
        <v>T1</v>
      </c>
      <c r="C7" s="1" t="str">
        <f t="shared" si="1"/>
        <v>T2</v>
      </c>
      <c r="D7" s="1" t="str">
        <f t="shared" si="1"/>
        <v>T3</v>
      </c>
      <c r="E7" s="1" t="str">
        <f t="shared" si="1"/>
        <v>T4</v>
      </c>
      <c r="F7" s="1" t="str">
        <f t="shared" si="1"/>
        <v>T5</v>
      </c>
      <c r="G7" s="1" t="str">
        <f t="shared" si="1"/>
        <v>T6</v>
      </c>
      <c r="H7" s="1" t="str">
        <f t="shared" si="1"/>
        <v>T7</v>
      </c>
      <c r="I7" s="1" t="str">
        <f t="shared" si="1"/>
        <v>T8</v>
      </c>
      <c r="J7" s="1" t="str">
        <f t="shared" si="1"/>
        <v>T9</v>
      </c>
      <c r="K7" s="1" t="str">
        <f t="shared" si="1"/>
        <v>T10</v>
      </c>
      <c r="L7" s="1" t="str">
        <f t="shared" si="1"/>
        <v>T11</v>
      </c>
      <c r="M7" s="1" t="str">
        <f t="shared" si="1"/>
        <v>T12</v>
      </c>
      <c r="Q7" s="1">
        <v>0.7</v>
      </c>
      <c r="R7" s="1">
        <f t="shared" si="0"/>
        <v>0.30000000000000004</v>
      </c>
    </row>
    <row r="8" spans="1:18" x14ac:dyDescent="0.3">
      <c r="A8" s="1" t="str">
        <f t="shared" ref="A8:B12" si="2">A2</f>
        <v>Oil A 20 LT</v>
      </c>
      <c r="B8" s="1">
        <f t="shared" si="2"/>
        <v>12588.09</v>
      </c>
      <c r="C8" s="1">
        <f>($Q$2*'Single Exponen'!C8)+($R$2*B8)</f>
        <v>12276.156400000002</v>
      </c>
      <c r="D8" s="1">
        <f>($Q$2*'Single Exponen'!D8)+($R$2*C8)</f>
        <v>12426.506240000002</v>
      </c>
      <c r="E8" s="1">
        <f>($Q$2*'Single Exponen'!E8)+($R$2*D8)</f>
        <v>12469.708688000002</v>
      </c>
      <c r="F8" s="1">
        <f>($Q$2*'Single Exponen'!F8)+($R$2*E8)</f>
        <v>12362.396307200002</v>
      </c>
      <c r="G8" s="1">
        <f>($Q$2*'Single Exponen'!G8)+($R$2*F8)</f>
        <v>12126.634931200004</v>
      </c>
      <c r="H8" s="1">
        <f>($Q$2*'Single Exponen'!H8)+($R$2*G8)</f>
        <v>12221.298253312003</v>
      </c>
      <c r="I8" s="1">
        <f>($Q$2*'Single Exponen'!I8)+($R$2*H8)</f>
        <v>12234.818049331203</v>
      </c>
      <c r="J8" s="1">
        <f>($Q$2*'Single Exponen'!J8)+($R$2*I8)</f>
        <v>12189.659996810244</v>
      </c>
      <c r="K8" s="1">
        <f>($Q$2*'Single Exponen'!K8)+($R$2*J8)</f>
        <v>12009.42604332442</v>
      </c>
      <c r="L8" s="1">
        <f>($Q$2*'Single Exponen'!L8)+($R$2*K8)</f>
        <v>12139.697271360516</v>
      </c>
      <c r="M8" s="1">
        <f>($Q$2*'Single Exponen'!M8)+($R$2*L8)</f>
        <v>12213.698566449197</v>
      </c>
      <c r="Q8" s="1">
        <v>0.8</v>
      </c>
      <c r="R8" s="1">
        <f t="shared" ref="R8:R9" si="3">1-Q8</f>
        <v>0.19999999999999996</v>
      </c>
    </row>
    <row r="9" spans="1:18" x14ac:dyDescent="0.3">
      <c r="A9" s="1" t="str">
        <f t="shared" si="2"/>
        <v>Oil A 200 LT</v>
      </c>
      <c r="B9" s="1">
        <f t="shared" si="2"/>
        <v>459915.78</v>
      </c>
      <c r="C9" s="1">
        <f>($Q$2*'Single Exponen'!C9)+($R$2*B9)</f>
        <v>457407.97920000006</v>
      </c>
      <c r="D9" s="1">
        <f>($Q$2*'Single Exponen'!D9)+($R$2*C9)</f>
        <v>453076.22672000009</v>
      </c>
      <c r="E9" s="1">
        <f>($Q$2*'Single Exponen'!E9)+($R$2*D9)</f>
        <v>452417.0200640001</v>
      </c>
      <c r="F9" s="1">
        <f>($Q$2*'Single Exponen'!F9)+($R$2*E9)</f>
        <v>441941.63020160008</v>
      </c>
      <c r="G9" s="1">
        <f>($Q$2*'Single Exponen'!G9)+($R$2*F9)</f>
        <v>432690.58748160012</v>
      </c>
      <c r="H9" s="1">
        <f>($Q$2*'Single Exponen'!H9)+($R$2*G9)</f>
        <v>428001.44384153618</v>
      </c>
      <c r="I9" s="1">
        <f>($Q$2*'Single Exponen'!I9)+($R$2*H9)</f>
        <v>428354.7685582338</v>
      </c>
      <c r="J9" s="1">
        <f>($Q$2*'Single Exponen'!J9)+($R$2*I9)</f>
        <v>431973.51363459096</v>
      </c>
      <c r="K9" s="1">
        <f>($Q$2*'Single Exponen'!K9)+($R$2*J9)</f>
        <v>438039.50833807589</v>
      </c>
      <c r="L9" s="1">
        <f>($Q$2*'Single Exponen'!L9)+($R$2*K9)</f>
        <v>443628.64301478321</v>
      </c>
      <c r="M9" s="1">
        <f>($Q$2*'Single Exponen'!M9)+($R$2*L9)</f>
        <v>446601.84908728459</v>
      </c>
      <c r="Q9" s="1">
        <v>0.9</v>
      </c>
      <c r="R9" s="1">
        <f t="shared" si="3"/>
        <v>9.9999999999999978E-2</v>
      </c>
    </row>
    <row r="10" spans="1:18" x14ac:dyDescent="0.3">
      <c r="A10" s="1" t="str">
        <f t="shared" si="2"/>
        <v>Oil A 1000 LT</v>
      </c>
      <c r="B10" s="1">
        <f t="shared" si="2"/>
        <v>23458.3</v>
      </c>
      <c r="C10" s="1">
        <f>($Q$2*'Single Exponen'!C10)+($R$2*B10)</f>
        <v>24208.631999999998</v>
      </c>
      <c r="D10" s="1">
        <f>($Q$2*'Single Exponen'!D10)+($R$2*C10)</f>
        <v>24870.575199999999</v>
      </c>
      <c r="E10" s="1">
        <f>($Q$2*'Single Exponen'!E10)+($R$2*D10)</f>
        <v>25874.471840000006</v>
      </c>
      <c r="F10" s="1">
        <f>($Q$2*'Single Exponen'!F10)+($R$2*E10)</f>
        <v>26436.450816000004</v>
      </c>
      <c r="G10" s="1">
        <f>($Q$2*'Single Exponen'!G10)+($R$2*F10)</f>
        <v>28027.335328000005</v>
      </c>
      <c r="H10" s="1">
        <f>($Q$2*'Single Exponen'!H10)+($R$2*G10)</f>
        <v>31273.876002560006</v>
      </c>
      <c r="I10" s="1">
        <f>($Q$2*'Single Exponen'!I10)+($R$2*H10)</f>
        <v>34262.83499417601</v>
      </c>
      <c r="J10" s="1">
        <f>($Q$2*'Single Exponen'!J10)+($R$2*I10)</f>
        <v>35255.835349043205</v>
      </c>
      <c r="K10" s="1">
        <f>($Q$2*'Single Exponen'!K10)+($R$2*J10)</f>
        <v>35449.722162196485</v>
      </c>
      <c r="L10" s="1">
        <f>($Q$2*'Single Exponen'!L10)+($R$2*K10)</f>
        <v>35230.244836126731</v>
      </c>
      <c r="M10" s="1">
        <f>($Q$2*'Single Exponen'!M10)+($R$2*L10)</f>
        <v>35034.677553997019</v>
      </c>
    </row>
    <row r="11" spans="1:18" x14ac:dyDescent="0.3">
      <c r="A11" s="1" t="str">
        <f t="shared" si="2"/>
        <v>Oil B 20 LT</v>
      </c>
      <c r="B11" s="1">
        <f t="shared" si="2"/>
        <v>4698.6499999999996</v>
      </c>
      <c r="C11" s="1">
        <f>($Q$2*'Single Exponen'!C11)+($R$2*B11)</f>
        <v>4856.5039999999999</v>
      </c>
      <c r="D11" s="1">
        <f>($Q$2*'Single Exponen'!D11)+($R$2*C11)</f>
        <v>5082.8483999999999</v>
      </c>
      <c r="E11" s="1">
        <f>($Q$2*'Single Exponen'!E11)+($R$2*D11)</f>
        <v>5286.1372800000008</v>
      </c>
      <c r="F11" s="1">
        <f>($Q$2*'Single Exponen'!F11)+($R$2*E11)</f>
        <v>7032.7006720000018</v>
      </c>
      <c r="G11" s="1">
        <f>($Q$2*'Single Exponen'!G11)+($R$2*F11)</f>
        <v>8146.9140160000024</v>
      </c>
      <c r="H11" s="1">
        <f>($Q$2*'Single Exponen'!H11)+($R$2*G11)</f>
        <v>8879.2423955200029</v>
      </c>
      <c r="I11" s="1">
        <f>($Q$2*'Single Exponen'!I11)+($R$2*H11)</f>
        <v>9680.5228625920026</v>
      </c>
      <c r="J11" s="1">
        <f>($Q$2*'Single Exponen'!J11)+($R$2*I11)</f>
        <v>10495.801447014403</v>
      </c>
      <c r="K11" s="1">
        <f>($Q$2*'Single Exponen'!K11)+($R$2*J11)</f>
        <v>12004.435683164163</v>
      </c>
      <c r="L11" s="1">
        <f>($Q$2*'Single Exponen'!L11)+($R$2*K11)</f>
        <v>12751.520166973443</v>
      </c>
      <c r="M11" s="1">
        <f>($Q$2*'Single Exponen'!M11)+($R$2*L11)</f>
        <v>13055.655029932446</v>
      </c>
    </row>
    <row r="12" spans="1:18" x14ac:dyDescent="0.3">
      <c r="A12" s="1" t="str">
        <f t="shared" si="2"/>
        <v>Oil B 200 LT</v>
      </c>
      <c r="B12" s="1">
        <f t="shared" si="2"/>
        <v>1033.08</v>
      </c>
      <c r="C12" s="1">
        <f>($Q$2*'Single Exponen'!C12)+($R$2*B12)</f>
        <v>2010.8743999999999</v>
      </c>
      <c r="D12" s="1">
        <f>($Q$2*'Single Exponen'!D12)+($R$2*C12)</f>
        <v>3336.1086400000004</v>
      </c>
      <c r="E12" s="1">
        <f>($Q$2*'Single Exponen'!E12)+($R$2*D12)</f>
        <v>4805.0502080000006</v>
      </c>
      <c r="F12" s="1">
        <f>($Q$2*'Single Exponen'!F12)+($R$2*E12)</f>
        <v>6627.0348032000002</v>
      </c>
      <c r="G12" s="1">
        <f>($Q$2*'Single Exponen'!G12)+($R$2*F12)</f>
        <v>8226.7551520000015</v>
      </c>
      <c r="H12" s="1">
        <f>($Q$2*'Single Exponen'!H12)+($R$2*G12)</f>
        <v>11055.835569152001</v>
      </c>
      <c r="I12" s="1">
        <f>($Q$2*'Single Exponen'!I12)+($R$2*H12)</f>
        <v>13703.144013363202</v>
      </c>
      <c r="J12" s="1">
        <f>($Q$2*'Single Exponen'!J12)+($R$2*I12)</f>
        <v>15990.207657123843</v>
      </c>
      <c r="K12" s="1">
        <f>($Q$2*'Single Exponen'!K12)+($R$2*J12)</f>
        <v>18857.450482845699</v>
      </c>
      <c r="L12" s="1">
        <f>($Q$2*'Single Exponen'!L12)+($R$2*K12)</f>
        <v>21944.183071993859</v>
      </c>
      <c r="M12" s="1">
        <f>($Q$2*'Single Exponen'!M12)+($R$2*L12)</f>
        <v>24757.821406168929</v>
      </c>
    </row>
    <row r="13" spans="1:18" x14ac:dyDescent="0.3">
      <c r="A13" s="1">
        <f>Q3</f>
        <v>0.3</v>
      </c>
      <c r="B13" s="1" t="str">
        <f t="shared" ref="B13:M13" si="4">B7</f>
        <v>T1</v>
      </c>
      <c r="C13" s="1" t="str">
        <f t="shared" si="4"/>
        <v>T2</v>
      </c>
      <c r="D13" s="1" t="str">
        <f t="shared" si="4"/>
        <v>T3</v>
      </c>
      <c r="E13" s="1" t="str">
        <f t="shared" si="4"/>
        <v>T4</v>
      </c>
      <c r="F13" s="1" t="str">
        <f t="shared" si="4"/>
        <v>T5</v>
      </c>
      <c r="G13" s="1" t="str">
        <f t="shared" si="4"/>
        <v>T6</v>
      </c>
      <c r="H13" s="1" t="str">
        <f t="shared" si="4"/>
        <v>T7</v>
      </c>
      <c r="I13" s="1" t="str">
        <f t="shared" si="4"/>
        <v>T8</v>
      </c>
      <c r="J13" s="1" t="str">
        <f t="shared" si="4"/>
        <v>T9</v>
      </c>
      <c r="K13" s="1" t="str">
        <f t="shared" si="4"/>
        <v>T10</v>
      </c>
      <c r="L13" s="1" t="str">
        <f t="shared" si="4"/>
        <v>T11</v>
      </c>
      <c r="M13" s="1" t="str">
        <f t="shared" si="4"/>
        <v>T12</v>
      </c>
    </row>
    <row r="14" spans="1:18" x14ac:dyDescent="0.3">
      <c r="A14" s="1" t="str">
        <f t="shared" ref="A14:B18" si="5">A8</f>
        <v>Oil A 20 LT</v>
      </c>
      <c r="B14" s="1">
        <f t="shared" si="5"/>
        <v>12588.09</v>
      </c>
      <c r="C14" s="1">
        <f>($Q$3*'Single Exponen'!C14)+($R$3*B14)</f>
        <v>11886.239399999999</v>
      </c>
      <c r="D14" s="1">
        <f>($Q$3*'Single Exponen'!D14)+($R$3*C14)</f>
        <v>12364.896659999999</v>
      </c>
      <c r="E14" s="1">
        <f>($Q$3*'Single Exponen'!E14)+($R$3*D14)</f>
        <v>12485.685317999998</v>
      </c>
      <c r="F14" s="1">
        <f>($Q$3*'Single Exponen'!F14)+($R$3*E14)</f>
        <v>12239.769481799998</v>
      </c>
      <c r="G14" s="1">
        <f>($Q$3*'Single Exponen'!G14)+($R$3*F14)</f>
        <v>11754.373868699997</v>
      </c>
      <c r="H14" s="1">
        <f>($Q$3*'Single Exponen'!H14)+($R$3*G14)</f>
        <v>12102.522370097997</v>
      </c>
      <c r="I14" s="1">
        <f>($Q$3*'Single Exponen'!I14)+($R$3*H14)</f>
        <v>12177.909322474196</v>
      </c>
      <c r="J14" s="1">
        <f>($Q$3*'Single Exponen'!J14)+($R$3*I14)</f>
        <v>12098.896590115855</v>
      </c>
      <c r="K14" s="1">
        <f>($Q$3*'Single Exponen'!K14)+($R$3*J14)</f>
        <v>11727.850258149841</v>
      </c>
      <c r="L14" s="1">
        <f>($Q$3*'Single Exponen'!L14)+($R$3*K14)</f>
        <v>12124.026532253009</v>
      </c>
      <c r="M14" s="1">
        <f>($Q$3*'Single Exponen'!M14)+($R$3*L14)</f>
        <v>12298.475618660788</v>
      </c>
    </row>
    <row r="15" spans="1:18" x14ac:dyDescent="0.3">
      <c r="A15" s="1" t="str">
        <f t="shared" si="5"/>
        <v>Oil A 200 LT</v>
      </c>
      <c r="B15" s="1">
        <f t="shared" si="5"/>
        <v>459915.78</v>
      </c>
      <c r="C15" s="1">
        <f>($Q$3*'Single Exponen'!C15)+($R$3*B15)</f>
        <v>454273.22819999995</v>
      </c>
      <c r="D15" s="1">
        <f>($Q$3*'Single Exponen'!D15)+($R$3*C15)</f>
        <v>445655.29547999991</v>
      </c>
      <c r="E15" s="1">
        <f>($Q$3*'Single Exponen'!E15)+($R$3*D15)</f>
        <v>446854.90085399989</v>
      </c>
      <c r="F15" s="1">
        <f>($Q$3*'Single Exponen'!F15)+($R$3*E15)</f>
        <v>425322.92861039989</v>
      </c>
      <c r="G15" s="1">
        <f>($Q$3*'Single Exponen'!G15)+($R$3*F15)</f>
        <v>410537.66063609987</v>
      </c>
      <c r="H15" s="1">
        <f>($Q$3*'Single Exponen'!H15)+($R$3*G15)</f>
        <v>408057.57107144385</v>
      </c>
      <c r="I15" s="1">
        <f>($Q$3*'Single Exponen'!I15)+($R$3*H15)</f>
        <v>416184.62318833242</v>
      </c>
      <c r="J15" s="1">
        <f>($Q$3*'Single Exponen'!J15)+($R$3*I15)</f>
        <v>428895.58063865791</v>
      </c>
      <c r="K15" s="1">
        <f>($Q$3*'Single Exponen'!K15)+($R$3*J15)</f>
        <v>443838.45893183816</v>
      </c>
      <c r="L15" s="1">
        <f>($Q$3*'Single Exponen'!L15)+($R$3*K15)</f>
        <v>454479.08439163107</v>
      </c>
      <c r="M15" s="1">
        <f>($Q$3*'Single Exponen'!M15)+($R$3*L15)</f>
        <v>457357.81087168277</v>
      </c>
    </row>
    <row r="16" spans="1:18" x14ac:dyDescent="0.3">
      <c r="A16" s="1" t="str">
        <f t="shared" si="5"/>
        <v>Oil A 1000 LT</v>
      </c>
      <c r="B16" s="1">
        <f t="shared" si="5"/>
        <v>23458.3</v>
      </c>
      <c r="C16" s="1">
        <f>($Q$3*'Single Exponen'!C16)+($R$3*B16)</f>
        <v>25146.546999999999</v>
      </c>
      <c r="D16" s="1">
        <f>($Q$3*'Single Exponen'!D16)+($R$3*C16)</f>
        <v>26298.269799999995</v>
      </c>
      <c r="E16" s="1">
        <f>($Q$3*'Single Exponen'!E16)+($R$3*D16)</f>
        <v>28039.690689999992</v>
      </c>
      <c r="F16" s="1">
        <f>($Q$3*'Single Exponen'!F16)+($R$3*E16)</f>
        <v>28516.958763999988</v>
      </c>
      <c r="G16" s="1">
        <f>($Q$3*'Single Exponen'!G16)+($R$3*F16)</f>
        <v>31333.814831499985</v>
      </c>
      <c r="H16" s="1">
        <f>($Q$3*'Single Exponen'!H16)+($R$3*G16)</f>
        <v>37430.333969739986</v>
      </c>
      <c r="I16" s="1">
        <f>($Q$3*'Single Exponen'!I16)+($R$3*H16)</f>
        <v>41913.686290200989</v>
      </c>
      <c r="J16" s="1">
        <f>($Q$3*'Single Exponen'!J16)+($R$3*I16)</f>
        <v>41352.102161108785</v>
      </c>
      <c r="K16" s="1">
        <f>($Q$3*'Single Exponen'!K16)+($R$3*J16)</f>
        <v>39534.586743353815</v>
      </c>
      <c r="L16" s="1">
        <f>($Q$3*'Single Exponen'!L16)+($R$3*K16)</f>
        <v>37503.345381752035</v>
      </c>
      <c r="M16" s="1">
        <f>($Q$3*'Single Exponen'!M16)+($R$3*L16)</f>
        <v>36179.479030209477</v>
      </c>
    </row>
    <row r="17" spans="1:25" x14ac:dyDescent="0.3">
      <c r="A17" s="1" t="str">
        <f t="shared" si="5"/>
        <v>Oil B 20 LT</v>
      </c>
      <c r="B17" s="1">
        <f t="shared" si="5"/>
        <v>4698.6499999999996</v>
      </c>
      <c r="C17" s="1">
        <f>($Q$3*'Single Exponen'!C17)+($R$3*B17)</f>
        <v>5053.8214999999991</v>
      </c>
      <c r="D17" s="1">
        <f>($Q$3*'Single Exponen'!D17)+($R$3*C17)</f>
        <v>5492.0620999999992</v>
      </c>
      <c r="E17" s="1">
        <f>($Q$3*'Single Exponen'!E17)+($R$3*D17)</f>
        <v>5801.434804999999</v>
      </c>
      <c r="F17" s="1">
        <f>($Q$3*'Single Exponen'!F17)+($R$3*E17)</f>
        <v>9543.6822979999997</v>
      </c>
      <c r="G17" s="1">
        <f>($Q$3*'Single Exponen'!G17)+($R$3*F17)</f>
        <v>11143.323962750001</v>
      </c>
      <c r="H17" s="1">
        <f>($Q$3*'Single Exponen'!H17)+($R$3*G17)</f>
        <v>11700.743121830001</v>
      </c>
      <c r="I17" s="1">
        <f>($Q$3*'Single Exponen'!I17)+($R$3*H17)</f>
        <v>12468.2716288145</v>
      </c>
      <c r="J17" s="1">
        <f>($Q$3*'Single Exponen'!J17)+($R$3*I17)</f>
        <v>13273.996150643599</v>
      </c>
      <c r="K17" s="1">
        <f>($Q$3*'Single Exponen'!K17)+($R$3*J17)</f>
        <v>15639.189512781933</v>
      </c>
      <c r="L17" s="1">
        <f>($Q$3*'Single Exponen'!L17)+($R$3*K17)</f>
        <v>15979.513204079343</v>
      </c>
      <c r="M17" s="1">
        <f>($Q$3*'Single Exponen'!M17)+($R$3*L17)</f>
        <v>15464.254224447934</v>
      </c>
    </row>
    <row r="18" spans="1:25" x14ac:dyDescent="0.3">
      <c r="A18" s="1" t="str">
        <f t="shared" si="5"/>
        <v>Oil B 200 LT</v>
      </c>
      <c r="B18" s="1">
        <f t="shared" si="5"/>
        <v>1033.08</v>
      </c>
      <c r="C18" s="1">
        <f>($Q$3*'Single Exponen'!C18)+($R$3*B18)</f>
        <v>3233.1174000000001</v>
      </c>
      <c r="D18" s="1">
        <f>($Q$3*'Single Exponen'!D18)+($R$3*C18)</f>
        <v>5774.8869599999998</v>
      </c>
      <c r="E18" s="1">
        <f>($Q$3*'Single Exponen'!E18)+($R$3*D18)</f>
        <v>8197.6452179999997</v>
      </c>
      <c r="F18" s="1">
        <f>($Q$3*'Single Exponen'!F18)+($R$3*E18)</f>
        <v>11063.652694799999</v>
      </c>
      <c r="G18" s="1">
        <f>($Q$3*'Single Exponen'!G18)+($R$3*F18)</f>
        <v>13044.413715899998</v>
      </c>
      <c r="H18" s="1">
        <f>($Q$3*'Single Exponen'!H18)+($R$3*G18)</f>
        <v>17643.230981807996</v>
      </c>
      <c r="I18" s="1">
        <f>($Q$3*'Single Exponen'!I18)+($R$3*H18)</f>
        <v>21186.354053740197</v>
      </c>
      <c r="J18" s="1">
        <f>($Q$3*'Single Exponen'!J18)+($R$3*I18)</f>
        <v>23582.764494150357</v>
      </c>
      <c r="K18" s="1">
        <f>($Q$3*'Single Exponen'!K18)+($R$3*J18)</f>
        <v>27231.600205477804</v>
      </c>
      <c r="L18" s="1">
        <f>($Q$3*'Single Exponen'!L18)+($R$3*K18)</f>
        <v>31082.174885535249</v>
      </c>
      <c r="M18" s="1">
        <f>($Q$3*'Single Exponen'!M18)+($R$3*L18)</f>
        <v>34032.328539065224</v>
      </c>
    </row>
    <row r="19" spans="1:25" x14ac:dyDescent="0.3">
      <c r="A19" s="1">
        <f>Q4</f>
        <v>0.4</v>
      </c>
      <c r="B19" s="1" t="str">
        <f t="shared" ref="B19:M19" si="6">B13</f>
        <v>T1</v>
      </c>
      <c r="C19" s="1" t="str">
        <f t="shared" si="6"/>
        <v>T2</v>
      </c>
      <c r="D19" s="1" t="str">
        <f t="shared" si="6"/>
        <v>T3</v>
      </c>
      <c r="E19" s="1" t="str">
        <f t="shared" si="6"/>
        <v>T4</v>
      </c>
      <c r="F19" s="1" t="str">
        <f t="shared" si="6"/>
        <v>T5</v>
      </c>
      <c r="G19" s="1" t="str">
        <f t="shared" si="6"/>
        <v>T6</v>
      </c>
      <c r="H19" s="1" t="str">
        <f t="shared" si="6"/>
        <v>T7</v>
      </c>
      <c r="I19" s="1" t="str">
        <f t="shared" si="6"/>
        <v>T8</v>
      </c>
      <c r="J19" s="1" t="str">
        <f t="shared" si="6"/>
        <v>T9</v>
      </c>
      <c r="K19" s="1" t="str">
        <f t="shared" si="6"/>
        <v>T10</v>
      </c>
      <c r="L19" s="1" t="str">
        <f t="shared" si="6"/>
        <v>T11</v>
      </c>
      <c r="M19" s="1" t="str">
        <f t="shared" si="6"/>
        <v>T12</v>
      </c>
    </row>
    <row r="20" spans="1:25" x14ac:dyDescent="0.3">
      <c r="A20" s="1" t="str">
        <f t="shared" ref="A20:B24" si="7">A14</f>
        <v>Oil A 20 LT</v>
      </c>
      <c r="B20" s="1">
        <f t="shared" si="7"/>
        <v>12588.09</v>
      </c>
      <c r="C20" s="1">
        <f>($Q$4*'Single Exponen'!C20)+($R$4*B20)</f>
        <v>11340.355599999999</v>
      </c>
      <c r="D20" s="1">
        <f>($Q$4*'Single Exponen'!D20)+($R$4*C20)</f>
        <v>12440.848719999998</v>
      </c>
      <c r="E20" s="1">
        <f>($Q$4*'Single Exponen'!E20)+($R$4*D20)</f>
        <v>12622.645647999998</v>
      </c>
      <c r="F20" s="1">
        <f>($Q$4*'Single Exponen'!F20)+($R$4*E20)</f>
        <v>12123.774838399999</v>
      </c>
      <c r="G20" s="1">
        <f>($Q$4*'Single Exponen'!G20)+($R$4*F20)</f>
        <v>11314.034972799998</v>
      </c>
      <c r="H20" s="1">
        <f>($Q$4*'Single Exponen'!H20)+($R$4*G20)</f>
        <v>12134.747025535999</v>
      </c>
      <c r="I20" s="1">
        <f>($Q$4*'Single Exponen'!I20)+($R$4*H20)</f>
        <v>12255.7926404352</v>
      </c>
      <c r="J20" s="1">
        <f>($Q$4*'Single Exponen'!J20)+($R$4*I20)</f>
        <v>12080.770239329278</v>
      </c>
      <c r="K20" s="1">
        <f>($Q$4*'Single Exponen'!K20)+($R$4*J20)</f>
        <v>11429.853336638462</v>
      </c>
      <c r="L20" s="1">
        <f>($Q$4*'Single Exponen'!L20)+($R$4*K20)</f>
        <v>12270.738717807615</v>
      </c>
      <c r="M20" s="1">
        <f>($Q$4*'Single Exponen'!M20)+($R$4*L20)</f>
        <v>12515.001660179292</v>
      </c>
    </row>
    <row r="21" spans="1:25" x14ac:dyDescent="0.3">
      <c r="A21" s="1" t="str">
        <f t="shared" si="7"/>
        <v>Oil A 200 LT</v>
      </c>
      <c r="B21" s="1">
        <f t="shared" si="7"/>
        <v>459915.78</v>
      </c>
      <c r="C21" s="1">
        <f>($Q$4*'Single Exponen'!C21)+($R$4*B21)</f>
        <v>449884.57680000004</v>
      </c>
      <c r="D21" s="1">
        <f>($Q$4*'Single Exponen'!D21)+($R$4*C21)</f>
        <v>436570.04816000001</v>
      </c>
      <c r="E21" s="1">
        <f>($Q$4*'Single Exponen'!E21)+($R$4*D21)</f>
        <v>442870.26614399999</v>
      </c>
      <c r="F21" s="1">
        <f>($Q$4*'Single Exponen'!F21)+($R$4*E21)</f>
        <v>406451.83483519999</v>
      </c>
      <c r="G21" s="1">
        <f>($Q$4*'Single Exponen'!G21)+($R$4*F21)</f>
        <v>388832.39399040001</v>
      </c>
      <c r="H21" s="1">
        <f>($Q$4*'Single Exponen'!H21)+($R$4*G21)</f>
        <v>394432.80104780803</v>
      </c>
      <c r="I21" s="1">
        <f>($Q$4*'Single Exponen'!I21)+($R$4*H21)</f>
        <v>415237.43702082569</v>
      </c>
      <c r="J21" s="1">
        <f>($Q$4*'Single Exponen'!J21)+($R$4*I21)</f>
        <v>438396.34804777987</v>
      </c>
      <c r="K21" s="1">
        <f>($Q$4*'Single Exponen'!K21)+($R$4*J21)</f>
        <v>460705.89392983861</v>
      </c>
      <c r="L21" s="1">
        <f>($Q$4*'Single Exponen'!L21)+($R$4*K21)</f>
        <v>471938.30101860559</v>
      </c>
      <c r="M21" s="1">
        <f>($Q$4*'Single Exponen'!M21)+($R$4*L21)</f>
        <v>469037.06180758483</v>
      </c>
    </row>
    <row r="22" spans="1:25" x14ac:dyDescent="0.3">
      <c r="A22" s="1" t="str">
        <f t="shared" si="7"/>
        <v>Oil A 1000 LT</v>
      </c>
      <c r="B22" s="1">
        <f t="shared" si="7"/>
        <v>23458.3</v>
      </c>
      <c r="C22" s="1">
        <f>($Q$4*'Single Exponen'!C22)+($R$4*B22)</f>
        <v>26459.628000000001</v>
      </c>
      <c r="D22" s="1">
        <f>($Q$4*'Single Exponen'!D22)+($R$4*C22)</f>
        <v>27906.869599999998</v>
      </c>
      <c r="E22" s="1">
        <f>($Q$4*'Single Exponen'!E22)+($R$4*D22)</f>
        <v>30263.081439999998</v>
      </c>
      <c r="F22" s="1">
        <f>($Q$4*'Single Exponen'!F22)+($R$4*E22)</f>
        <v>30087.080672</v>
      </c>
      <c r="G22" s="1">
        <f>($Q$4*'Single Exponen'!G22)+($R$4*F22)</f>
        <v>34364.491488</v>
      </c>
      <c r="H22" s="1">
        <f>($Q$4*'Single Exponen'!H22)+($R$4*G22)</f>
        <v>43803.912743679997</v>
      </c>
      <c r="I22" s="1">
        <f>($Q$4*'Single Exponen'!I22)+($R$4*H22)</f>
        <v>48841.990356736002</v>
      </c>
      <c r="J22" s="1">
        <f>($Q$4*'Single Exponen'!J22)+($R$4*I22)</f>
        <v>44643.299840358399</v>
      </c>
      <c r="K22" s="1">
        <f>($Q$4*'Single Exponen'!K22)+($R$4*J22)</f>
        <v>39863.243280005117</v>
      </c>
      <c r="L22" s="1">
        <f>($Q$4*'Single Exponen'!L22)+($R$4*K22)</f>
        <v>36061.999993477119</v>
      </c>
      <c r="M22" s="1">
        <f>($Q$4*'Single Exponen'!M22)+($R$4*L22)</f>
        <v>34340.064411370702</v>
      </c>
      <c r="N22" s="6">
        <f t="shared" ref="N22:Y22" si="8">SUM(B2:B6)</f>
        <v>501693.90000000008</v>
      </c>
      <c r="O22" s="6">
        <f t="shared" si="8"/>
        <v>501460.46150000003</v>
      </c>
      <c r="P22" s="6">
        <f t="shared" si="8"/>
        <v>500921.8036000001</v>
      </c>
      <c r="Q22" s="6">
        <f t="shared" si="8"/>
        <v>501294.08696500014</v>
      </c>
      <c r="R22" s="6">
        <f t="shared" si="8"/>
        <v>499648.55602100008</v>
      </c>
      <c r="S22" s="6">
        <f t="shared" si="8"/>
        <v>498000.04409615009</v>
      </c>
      <c r="T22" s="6">
        <f t="shared" si="8"/>
        <v>497959.41629606008</v>
      </c>
      <c r="U22" s="6">
        <f t="shared" si="8"/>
        <v>499208.17361502658</v>
      </c>
      <c r="V22" s="6">
        <f t="shared" si="8"/>
        <v>501038.47580723924</v>
      </c>
      <c r="W22" s="6">
        <f t="shared" si="8"/>
        <v>503956.53842485917</v>
      </c>
      <c r="X22" s="6">
        <f t="shared" si="8"/>
        <v>507104.76166088256</v>
      </c>
      <c r="Y22" s="6">
        <f t="shared" si="8"/>
        <v>509839.67176545277</v>
      </c>
    </row>
    <row r="23" spans="1:25" x14ac:dyDescent="0.3">
      <c r="A23" s="1" t="str">
        <f t="shared" si="7"/>
        <v>Oil B 20 LT</v>
      </c>
      <c r="B23" s="1">
        <f t="shared" si="7"/>
        <v>4698.6499999999996</v>
      </c>
      <c r="C23" s="1">
        <f>($Q$4*'Single Exponen'!C23)+($R$4*B23)</f>
        <v>5330.0659999999998</v>
      </c>
      <c r="D23" s="1">
        <f>($Q$4*'Single Exponen'!D23)+($R$4*C23)</f>
        <v>5982.877199999999</v>
      </c>
      <c r="E23" s="1">
        <f>($Q$4*'Single Exponen'!E23)+($R$4*D23)</f>
        <v>6307.5984799999987</v>
      </c>
      <c r="F23" s="1">
        <f>($Q$4*'Single Exponen'!F23)+($R$4*E23)</f>
        <v>12726.898384</v>
      </c>
      <c r="G23" s="1">
        <f>($Q$4*'Single Exponen'!G23)+($R$4*F23)</f>
        <v>14112.425808</v>
      </c>
      <c r="H23" s="1">
        <f>($Q$4*'Single Exponen'!H23)+($R$4*G23)</f>
        <v>13733.66115136</v>
      </c>
      <c r="I23" s="1">
        <f>($Q$4*'Single Exponen'!I23)+($R$4*H23)</f>
        <v>14150.960090752</v>
      </c>
      <c r="J23" s="1">
        <f>($Q$4*'Single Exponen'!J23)+($R$4*I23)</f>
        <v>14795.7540944128</v>
      </c>
      <c r="K23" s="1">
        <f>($Q$4*'Single Exponen'!K23)+($R$4*J23)</f>
        <v>18287.311280624639</v>
      </c>
      <c r="L23" s="1">
        <f>($Q$4*'Single Exponen'!L23)+($R$4*K23)</f>
        <v>17665.246062760962</v>
      </c>
      <c r="M23" s="1">
        <f>($Q$4*'Single Exponen'!M23)+($R$4*L23)</f>
        <v>15959.109614288282</v>
      </c>
    </row>
    <row r="24" spans="1:25" x14ac:dyDescent="0.3">
      <c r="A24" s="1" t="str">
        <f t="shared" si="7"/>
        <v>Oil B 200 LT</v>
      </c>
      <c r="B24" s="1">
        <f t="shared" si="7"/>
        <v>1033.08</v>
      </c>
      <c r="C24" s="1">
        <f>($Q$4*'Single Exponen'!C24)+($R$4*B24)</f>
        <v>4944.2575999999999</v>
      </c>
      <c r="D24" s="1">
        <f>($Q$4*'Single Exponen'!D24)+($R$4*C24)</f>
        <v>8680.7235199999996</v>
      </c>
      <c r="E24" s="1">
        <f>($Q$4*'Single Exponen'!E24)+($R$4*D24)</f>
        <v>11653.879487999999</v>
      </c>
      <c r="F24" s="1">
        <f>($Q$4*'Single Exponen'!F24)+($R$4*E24)</f>
        <v>15155.850918399998</v>
      </c>
      <c r="G24" s="1">
        <f>($Q$4*'Single Exponen'!G24)+($R$4*F24)</f>
        <v>16786.5508864</v>
      </c>
      <c r="H24" s="1">
        <f>($Q$4*'Single Exponen'!H24)+($R$4*G24)</f>
        <v>23225.073133056001</v>
      </c>
      <c r="I24" s="1">
        <f>($Q$4*'Single Exponen'!I24)+($R$4*H24)</f>
        <v>26942.6510405632</v>
      </c>
      <c r="J24" s="1">
        <f>($Q$4*'Single Exponen'!J24)+($R$4*I24)</f>
        <v>28533.802920775681</v>
      </c>
      <c r="K24" s="1">
        <f>($Q$4*'Single Exponen'!K24)+($R$4*J24)</f>
        <v>32713.730730328069</v>
      </c>
      <c r="L24" s="1">
        <f>($Q$4*'Single Exponen'!L24)+($R$4*K24)</f>
        <v>37008.288624914436</v>
      </c>
      <c r="M24" s="1">
        <f>($Q$4*'Single Exponen'!M24)+($R$4*L24)</f>
        <v>39496.590486979214</v>
      </c>
    </row>
    <row r="25" spans="1:25" x14ac:dyDescent="0.3">
      <c r="A25" s="1">
        <f>Q5</f>
        <v>0.5</v>
      </c>
      <c r="B25" s="1" t="str">
        <f t="shared" ref="B25:M25" si="9">B19</f>
        <v>T1</v>
      </c>
      <c r="C25" s="1" t="str">
        <f t="shared" si="9"/>
        <v>T2</v>
      </c>
      <c r="D25" s="1" t="str">
        <f t="shared" si="9"/>
        <v>T3</v>
      </c>
      <c r="E25" s="1" t="str">
        <f t="shared" si="9"/>
        <v>T4</v>
      </c>
      <c r="F25" s="1" t="str">
        <f t="shared" si="9"/>
        <v>T5</v>
      </c>
      <c r="G25" s="1" t="str">
        <f t="shared" si="9"/>
        <v>T6</v>
      </c>
      <c r="H25" s="1" t="str">
        <f t="shared" si="9"/>
        <v>T7</v>
      </c>
      <c r="I25" s="1" t="str">
        <f t="shared" si="9"/>
        <v>T8</v>
      </c>
      <c r="J25" s="1" t="str">
        <f t="shared" si="9"/>
        <v>T9</v>
      </c>
      <c r="K25" s="1" t="str">
        <f t="shared" si="9"/>
        <v>T10</v>
      </c>
      <c r="L25" s="1" t="str">
        <f t="shared" si="9"/>
        <v>T11</v>
      </c>
      <c r="M25" s="1" t="str">
        <f t="shared" si="9"/>
        <v>T12</v>
      </c>
    </row>
    <row r="26" spans="1:25" x14ac:dyDescent="0.3">
      <c r="A26" s="1" t="str">
        <f t="shared" ref="A26:B30" si="10">A20</f>
        <v>Oil A 20 LT</v>
      </c>
      <c r="B26" s="1">
        <f t="shared" si="10"/>
        <v>12588.09</v>
      </c>
      <c r="C26" s="1">
        <f>($Q$5*'Single Exponen'!C26)+($R$5*B26)</f>
        <v>10638.505000000001</v>
      </c>
      <c r="D26" s="1">
        <f>($Q$5*'Single Exponen'!D26)+($R$5*C26)</f>
        <v>12747.942500000001</v>
      </c>
      <c r="E26" s="1">
        <f>($Q$5*'Single Exponen'!E26)+($R$5*D26)</f>
        <v>12863.55875</v>
      </c>
      <c r="F26" s="1">
        <f>($Q$5*'Single Exponen'!F26)+($R$5*E26)</f>
        <v>11950.488125</v>
      </c>
      <c r="G26" s="1">
        <f>($Q$5*'Single Exponen'!G26)+($R$5*F26)</f>
        <v>10780.938437500001</v>
      </c>
      <c r="H26" s="1">
        <f>($Q$5*'Single Exponen'!H26)+($R$5*G26)</f>
        <v>12359.66640625</v>
      </c>
      <c r="I26" s="1">
        <f>($Q$5*'Single Exponen'!I26)+($R$5*H26)</f>
        <v>12425.601796875</v>
      </c>
      <c r="J26" s="1">
        <f>($Q$5*'Single Exponen'!J26)+($R$5*I26)</f>
        <v>12058.072695312501</v>
      </c>
      <c r="K26" s="1">
        <f>($Q$5*'Single Exponen'!K26)+($R$5*J26)</f>
        <v>11053.257246093752</v>
      </c>
      <c r="L26" s="1">
        <f>($Q$5*'Single Exponen'!L26)+($R$5*K26)</f>
        <v>12576.226572265627</v>
      </c>
      <c r="M26" s="1">
        <f>($Q$5*'Single Exponen'!M26)+($R$5*L26)</f>
        <v>12789.259760742189</v>
      </c>
    </row>
    <row r="27" spans="1:25" x14ac:dyDescent="0.3">
      <c r="A27" s="1" t="str">
        <f t="shared" si="10"/>
        <v>Oil A 200 LT</v>
      </c>
      <c r="B27" s="1">
        <f t="shared" si="10"/>
        <v>459915.78</v>
      </c>
      <c r="C27" s="1">
        <f>($Q$5*'Single Exponen'!C27)+($R$5*B27)</f>
        <v>444242.02500000002</v>
      </c>
      <c r="D27" s="1">
        <f>($Q$5*'Single Exponen'!D27)+($R$5*C27)</f>
        <v>426572.82500000001</v>
      </c>
      <c r="E27" s="1">
        <f>($Q$5*'Single Exponen'!E27)+($R$5*D27)</f>
        <v>441988.34375</v>
      </c>
      <c r="F27" s="1">
        <f>($Q$5*'Single Exponen'!F27)+($R$5*E27)</f>
        <v>385615.03249999997</v>
      </c>
      <c r="G27" s="1">
        <f>($Q$5*'Single Exponen'!G27)+($R$5*F27)</f>
        <v>369685.89656249998</v>
      </c>
      <c r="H27" s="1">
        <f>($Q$5*'Single Exponen'!H27)+($R$5*G27)</f>
        <v>389151.80843750003</v>
      </c>
      <c r="I27" s="1">
        <f>($Q$5*'Single Exponen'!I27)+($R$5*H27)</f>
        <v>424695.54929687502</v>
      </c>
      <c r="J27" s="1">
        <f>($Q$5*'Single Exponen'!J27)+($R$5*I27)</f>
        <v>455700.14718750003</v>
      </c>
      <c r="K27" s="1">
        <f>($Q$5*'Single Exponen'!K27)+($R$5*J27)</f>
        <v>480957.12486328126</v>
      </c>
      <c r="L27" s="1">
        <f>($Q$5*'Single Exponen'!L27)+($R$5*K27)</f>
        <v>487210.07806640625</v>
      </c>
      <c r="M27" s="1">
        <f>($Q$5*'Single Exponen'!M27)+($R$5*L27)</f>
        <v>474103.95685058594</v>
      </c>
    </row>
    <row r="28" spans="1:25" x14ac:dyDescent="0.3">
      <c r="A28" s="1" t="str">
        <f t="shared" si="10"/>
        <v>Oil A 1000 LT</v>
      </c>
      <c r="B28" s="1">
        <f t="shared" si="10"/>
        <v>23458.3</v>
      </c>
      <c r="C28" s="1">
        <f>($Q$5*'Single Exponen'!C28)+($R$5*B28)</f>
        <v>28147.875</v>
      </c>
      <c r="D28" s="1">
        <f>($Q$5*'Single Exponen'!D28)+($R$5*C28)</f>
        <v>29471.275000000001</v>
      </c>
      <c r="E28" s="1">
        <f>($Q$5*'Single Exponen'!E28)+($R$5*D28)</f>
        <v>32278.53125</v>
      </c>
      <c r="F28" s="1">
        <f>($Q$5*'Single Exponen'!F28)+($R$5*E28)</f>
        <v>30876.112499999999</v>
      </c>
      <c r="G28" s="1">
        <f>($Q$5*'Single Exponen'!G28)+($R$5*F28)</f>
        <v>37110.704687500001</v>
      </c>
      <c r="H28" s="1">
        <f>($Q$5*'Single Exponen'!H28)+($R$5*G28)</f>
        <v>50325.8515625</v>
      </c>
      <c r="I28" s="1">
        <f>($Q$5*'Single Exponen'!I28)+($R$5*H28)</f>
        <v>54561.475390624997</v>
      </c>
      <c r="J28" s="1">
        <f>($Q$5*'Single Exponen'!J28)+($R$5*I28)</f>
        <v>44796.137499999997</v>
      </c>
      <c r="K28" s="1">
        <f>($Q$5*'Single Exponen'!K28)+($R$5*J28)</f>
        <v>37209.518652343744</v>
      </c>
      <c r="L28" s="1">
        <f>($Q$5*'Single Exponen'!L28)+($R$5*K28)</f>
        <v>32725.634277343746</v>
      </c>
      <c r="M28" s="1">
        <f>($Q$5*'Single Exponen'!M28)+($R$5*L28)</f>
        <v>31886.42961425781</v>
      </c>
    </row>
    <row r="29" spans="1:25" x14ac:dyDescent="0.3">
      <c r="A29" s="1" t="str">
        <f t="shared" si="10"/>
        <v>Oil B 20 LT</v>
      </c>
      <c r="B29" s="1">
        <f t="shared" si="10"/>
        <v>4698.6499999999996</v>
      </c>
      <c r="C29" s="1">
        <f>($Q$5*'Single Exponen'!C29)+($R$5*B29)</f>
        <v>5685.2374999999993</v>
      </c>
      <c r="D29" s="1">
        <f>($Q$5*'Single Exponen'!D29)+($R$5*C29)</f>
        <v>6507.9375</v>
      </c>
      <c r="E29" s="1">
        <f>($Q$5*'Single Exponen'!E29)+($R$5*D29)</f>
        <v>6722.5181250000005</v>
      </c>
      <c r="F29" s="1">
        <f>($Q$5*'Single Exponen'!F29)+($R$5*E29)</f>
        <v>16519.93375</v>
      </c>
      <c r="G29" s="1">
        <f>($Q$5*'Single Exponen'!G29)+($R$5*F29)</f>
        <v>16575.059218750001</v>
      </c>
      <c r="H29" s="1">
        <f>($Q$5*'Single Exponen'!H29)+($R$5*G29)</f>
        <v>14602.003281249999</v>
      </c>
      <c r="I29" s="1">
        <f>($Q$5*'Single Exponen'!I29)+($R$5*H29)</f>
        <v>14756.738476562499</v>
      </c>
      <c r="J29" s="1">
        <f>($Q$5*'Single Exponen'!J29)+($R$5*I29)</f>
        <v>15416.737656249999</v>
      </c>
      <c r="K29" s="1">
        <f>($Q$5*'Single Exponen'!K29)+($R$5*J29)</f>
        <v>20519.353037109373</v>
      </c>
      <c r="L29" s="1">
        <f>($Q$5*'Single Exponen'!L29)+($R$5*K29)</f>
        <v>18301.018623046875</v>
      </c>
      <c r="M29" s="1">
        <f>($Q$5*'Single Exponen'!M29)+($R$5*L29)</f>
        <v>15271.565363769532</v>
      </c>
    </row>
    <row r="30" spans="1:25" x14ac:dyDescent="0.3">
      <c r="A30" s="1" t="str">
        <f t="shared" si="10"/>
        <v>Oil B 200 LT</v>
      </c>
      <c r="B30" s="1">
        <f t="shared" si="10"/>
        <v>1033.08</v>
      </c>
      <c r="C30" s="1">
        <f>($Q$5*'Single Exponen'!C30)+($R$5*B30)</f>
        <v>7144.2949999999992</v>
      </c>
      <c r="D30" s="1">
        <f>($Q$5*'Single Exponen'!D30)+($R$5*C30)</f>
        <v>11760.279999999999</v>
      </c>
      <c r="E30" s="1">
        <f>($Q$5*'Single Exponen'!E30)+($R$5*D30)</f>
        <v>14688.18125</v>
      </c>
      <c r="F30" s="1">
        <f>($Q$5*'Single Exponen'!F30)+($R$5*E30)</f>
        <v>18461.01125</v>
      </c>
      <c r="G30" s="1">
        <f>($Q$5*'Single Exponen'!G30)+($R$5*F30)</f>
        <v>19156.038437499999</v>
      </c>
      <c r="H30" s="1">
        <f>($Q$5*'Single Exponen'!H30)+($R$5*G30)</f>
        <v>27880.345624999998</v>
      </c>
      <c r="I30" s="1">
        <f>($Q$5*'Single Exponen'!I30)+($R$5*H30)</f>
        <v>31084.651015625001</v>
      </c>
      <c r="J30" s="1">
        <f>($Q$5*'Single Exponen'!J30)+($R$5*I30)</f>
        <v>31245.264609375001</v>
      </c>
      <c r="K30" s="1">
        <f>($Q$5*'Single Exponen'!K30)+($R$5*J30)</f>
        <v>36243.666855468749</v>
      </c>
      <c r="L30" s="1">
        <f>($Q$5*'Single Exponen'!L30)+($R$5*K30)</f>
        <v>40969.820703124999</v>
      </c>
      <c r="M30" s="1">
        <f>($Q$5*'Single Exponen'!M30)+($R$5*L30)</f>
        <v>42633.258989257811</v>
      </c>
    </row>
    <row r="31" spans="1:25" x14ac:dyDescent="0.3">
      <c r="A31" s="1">
        <f>Q6</f>
        <v>0.6</v>
      </c>
      <c r="B31" s="1" t="str">
        <f t="shared" ref="B31:M31" si="11">B25</f>
        <v>T1</v>
      </c>
      <c r="C31" s="1" t="str">
        <f t="shared" si="11"/>
        <v>T2</v>
      </c>
      <c r="D31" s="1" t="str">
        <f t="shared" si="11"/>
        <v>T3</v>
      </c>
      <c r="E31" s="1" t="str">
        <f t="shared" si="11"/>
        <v>T4</v>
      </c>
      <c r="F31" s="1" t="str">
        <f t="shared" si="11"/>
        <v>T5</v>
      </c>
      <c r="G31" s="1" t="str">
        <f t="shared" si="11"/>
        <v>T6</v>
      </c>
      <c r="H31" s="1" t="str">
        <f t="shared" si="11"/>
        <v>T7</v>
      </c>
      <c r="I31" s="1" t="str">
        <f t="shared" si="11"/>
        <v>T8</v>
      </c>
      <c r="J31" s="1" t="str">
        <f t="shared" si="11"/>
        <v>T9</v>
      </c>
      <c r="K31" s="1" t="str">
        <f t="shared" si="11"/>
        <v>T10</v>
      </c>
      <c r="L31" s="1" t="str">
        <f t="shared" si="11"/>
        <v>T11</v>
      </c>
      <c r="M31" s="1" t="str">
        <f t="shared" si="11"/>
        <v>T12</v>
      </c>
    </row>
    <row r="32" spans="1:25" x14ac:dyDescent="0.3">
      <c r="A32" s="1" t="str">
        <f t="shared" ref="A32:B36" si="12">A26</f>
        <v>Oil A 20 LT</v>
      </c>
      <c r="B32" s="1">
        <f t="shared" si="12"/>
        <v>12588.09</v>
      </c>
      <c r="C32" s="1">
        <f>($Q$6*'Single Exponen'!C2)+($R$6*B32)</f>
        <v>12120.189600000002</v>
      </c>
      <c r="D32" s="1">
        <f>($Q$6*'Single Exponen'!D2)+($R$6*C32)</f>
        <v>12486.084480000001</v>
      </c>
      <c r="E32" s="1">
        <f>($Q$6*'Single Exponen'!E2)+($R$6*D32)</f>
        <v>12534.699768000002</v>
      </c>
      <c r="F32" s="1">
        <f>($Q$6*'Single Exponen'!F2)+($R$6*E32)</f>
        <v>12345.858885600002</v>
      </c>
      <c r="G32" s="1">
        <f>($Q$6*'Single Exponen'!G2)+($R$6*F32)</f>
        <v>12028.246234800003</v>
      </c>
      <c r="H32" s="1">
        <f>($Q$6*'Single Exponen'!H2)+($R$6*G32)</f>
        <v>12288.134906424002</v>
      </c>
      <c r="I32" s="1">
        <f>($Q$6*'Single Exponen'!I2)+($R$6*H32)</f>
        <v>12307.087533823204</v>
      </c>
      <c r="J32" s="1">
        <f>($Q$6*'Single Exponen'!J2)+($R$6*I32)</f>
        <v>12228.858227657525</v>
      </c>
      <c r="K32" s="1">
        <f>($Q$6*'Single Exponen'!K2)+($R$6*J32)</f>
        <v>11971.344583778429</v>
      </c>
      <c r="L32" s="1">
        <f>($Q$6*'Single Exponen'!L2)+($R$6*K32)</f>
        <v>12249.35599695525</v>
      </c>
      <c r="M32" s="1">
        <f>($Q$6*'Single Exponen'!M2)+($R$6*L32)</f>
        <v>12328.802145881591</v>
      </c>
    </row>
    <row r="33" spans="1:13" x14ac:dyDescent="0.3">
      <c r="A33" s="1" t="str">
        <f t="shared" si="12"/>
        <v>Oil A 200 LT</v>
      </c>
      <c r="B33" s="1">
        <f t="shared" si="12"/>
        <v>459915.78</v>
      </c>
      <c r="C33" s="1">
        <f>($Q$6*'Single Exponen'!C3)+($R$6*B33)</f>
        <v>456154.07880000008</v>
      </c>
      <c r="D33" s="1">
        <f>($Q$6*'Single Exponen'!D3)+($R$6*C33)</f>
        <v>450784.96044000005</v>
      </c>
      <c r="E33" s="1">
        <f>($Q$6*'Single Exponen'!E3)+($R$6*D33)</f>
        <v>452159.22620400006</v>
      </c>
      <c r="F33" s="1">
        <f>($Q$6*'Single Exponen'!F3)+($R$6*E33)</f>
        <v>437589.18310680008</v>
      </c>
      <c r="G33" s="1">
        <f>($Q$6*'Single Exponen'!G3)+($R$6*F33)</f>
        <v>428784.92460540007</v>
      </c>
      <c r="H33" s="1">
        <f>($Q$6*'Single Exponen'!H3)+($R$6*G33)</f>
        <v>427697.0168685721</v>
      </c>
      <c r="I33" s="1">
        <f>($Q$6*'Single Exponen'!I3)+($R$6*H33)</f>
        <v>432355.20067119971</v>
      </c>
      <c r="J33" s="1">
        <f>($Q$6*'Single Exponen'!J3)+($R$6*I33)</f>
        <v>438881.04679987364</v>
      </c>
      <c r="K33" s="1">
        <f>($Q$6*'Single Exponen'!K3)+($R$6*J33)</f>
        <v>446440.8961982039</v>
      </c>
      <c r="L33" s="1">
        <f>($Q$6*'Single Exponen'!L3)+($R$6*K33)</f>
        <v>451218.70580971055</v>
      </c>
      <c r="M33" s="1">
        <f>($Q$6*'Single Exponen'!M3)+($R$6*L33)</f>
        <v>451577.55332127039</v>
      </c>
    </row>
    <row r="34" spans="1:13" x14ac:dyDescent="0.3">
      <c r="A34" s="1" t="str">
        <f t="shared" si="12"/>
        <v>Oil A 1000 LT</v>
      </c>
      <c r="B34" s="1">
        <f t="shared" si="12"/>
        <v>23458.3</v>
      </c>
      <c r="C34" s="1">
        <f>($Q$6*'Single Exponen'!C4)+($R$6*B34)</f>
        <v>24583.797999999999</v>
      </c>
      <c r="D34" s="1">
        <f>($Q$6*'Single Exponen'!D4)+($R$6*C34)</f>
        <v>25239.063399999999</v>
      </c>
      <c r="E34" s="1">
        <f>($Q$6*'Single Exponen'!E4)+($R$6*D34)</f>
        <v>26323.229139999999</v>
      </c>
      <c r="F34" s="1">
        <f>($Q$6*'Single Exponen'!F4)+($R$6*E34)</f>
        <v>26565.831058</v>
      </c>
      <c r="G34" s="1">
        <f>($Q$6*'Single Exponen'!G4)+($R$6*F34)</f>
        <v>28492.231885000001</v>
      </c>
      <c r="H34" s="1">
        <f>($Q$6*'Single Exponen'!H4)+($R$6*G34)</f>
        <v>32500.404269620001</v>
      </c>
      <c r="I34" s="1">
        <f>($Q$6*'Single Exponen'!I4)+($R$6*H34)</f>
        <v>35236.514071906</v>
      </c>
      <c r="J34" s="1">
        <f>($Q$6*'Single Exponen'!J4)+($R$6*I34)</f>
        <v>34783.192756414603</v>
      </c>
      <c r="K34" s="1">
        <f>($Q$6*'Single Exponen'!K4)+($R$6*J34)</f>
        <v>33985.905517452826</v>
      </c>
      <c r="L34" s="1">
        <f>($Q$6*'Single Exponen'!L4)+($R$6*K34)</f>
        <v>33271.363780379412</v>
      </c>
      <c r="M34" s="1">
        <f>($Q$6*'Single Exponen'!M4)+($R$6*L34)</f>
        <v>33049.008928210227</v>
      </c>
    </row>
    <row r="35" spans="1:13" x14ac:dyDescent="0.3">
      <c r="A35" s="1" t="str">
        <f t="shared" si="12"/>
        <v>Oil B 20 LT</v>
      </c>
      <c r="B35" s="1">
        <f t="shared" si="12"/>
        <v>4698.6499999999996</v>
      </c>
      <c r="C35" s="1">
        <f>($Q$6*'Single Exponen'!C5)+($R$6*B35)</f>
        <v>4935.4310000000005</v>
      </c>
      <c r="D35" s="1">
        <f>($Q$6*'Single Exponen'!D5)+($R$6*C35)</f>
        <v>5203.9133000000002</v>
      </c>
      <c r="E35" s="1">
        <f>($Q$6*'Single Exponen'!E5)+($R$6*D35)</f>
        <v>5380.9457299999995</v>
      </c>
      <c r="F35" s="1">
        <f>($Q$6*'Single Exponen'!F5)+($R$6*E35)</f>
        <v>7863.6766609999995</v>
      </c>
      <c r="G35" s="1">
        <f>($Q$6*'Single Exponen'!G5)+($R$6*F35)</f>
        <v>8702.2203965000008</v>
      </c>
      <c r="H35" s="1">
        <f>($Q$6*'Single Exponen'!H5)+($R$6*G35)</f>
        <v>8999.6255174899998</v>
      </c>
      <c r="I35" s="1">
        <f>($Q$6*'Single Exponen'!I5)+($R$6*H35)</f>
        <v>9598.3538299970005</v>
      </c>
      <c r="J35" s="1">
        <f>($Q$6*'Single Exponen'!J5)+($R$6*I35)</f>
        <v>10272.514792699702</v>
      </c>
      <c r="K35" s="1">
        <f>($Q$6*'Single Exponen'!K5)+($R$6*J35)</f>
        <v>12008.893851710691</v>
      </c>
      <c r="L35" s="1">
        <f>($Q$6*'Single Exponen'!L5)+($R$6*K35)</f>
        <v>12306.060681852006</v>
      </c>
      <c r="M35" s="1">
        <f>($Q$6*'Single Exponen'!M5)+($R$6*L35)</f>
        <v>12178.769499791761</v>
      </c>
    </row>
    <row r="36" spans="1:13" x14ac:dyDescent="0.3">
      <c r="A36" s="1" t="str">
        <f t="shared" si="12"/>
        <v>Oil B 200 LT</v>
      </c>
      <c r="B36" s="1">
        <f t="shared" si="12"/>
        <v>1033.08</v>
      </c>
      <c r="C36" s="1">
        <f>($Q$6*'Single Exponen'!C6)+($R$6*B36)</f>
        <v>2499.7715999999996</v>
      </c>
      <c r="D36" s="1">
        <f>($Q$6*'Single Exponen'!D6)+($R$6*C36)</f>
        <v>4047.6154800000004</v>
      </c>
      <c r="E36" s="1">
        <f>($Q$6*'Single Exponen'!E6)+($R$6*D36)</f>
        <v>5493.3363480000007</v>
      </c>
      <c r="F36" s="1">
        <f>($Q$6*'Single Exponen'!F6)+($R$6*E36)</f>
        <v>7295.2916796000009</v>
      </c>
      <c r="G36" s="1">
        <f>($Q$6*'Single Exponen'!G6)+($R$6*F36)</f>
        <v>8554.3754982000009</v>
      </c>
      <c r="H36" s="1">
        <f>($Q$6*'Single Exponen'!H6)+($R$6*G36)</f>
        <v>11695.877543004002</v>
      </c>
      <c r="I36" s="1">
        <f>($Q$6*'Single Exponen'!I6)+($R$6*H36)</f>
        <v>14043.461226553203</v>
      </c>
      <c r="J36" s="1">
        <f>($Q$6*'Single Exponen'!J6)+($R$6*I36)</f>
        <v>15757.351679037722</v>
      </c>
      <c r="K36" s="1">
        <f>($Q$6*'Single Exponen'!K6)+($R$6*J36)</f>
        <v>18493.606741189888</v>
      </c>
      <c r="L36" s="1">
        <f>($Q$6*'Single Exponen'!L6)+($R$6*K36)</f>
        <v>21378.034959093275</v>
      </c>
      <c r="M36" s="1">
        <f>($Q$6*'Single Exponen'!M6)+($R$6*L36)</f>
        <v>23707.592219992897</v>
      </c>
    </row>
    <row r="37" spans="1:13" x14ac:dyDescent="0.3">
      <c r="A37" s="1">
        <f>Q7</f>
        <v>0.7</v>
      </c>
      <c r="B37" s="1" t="str">
        <f t="shared" ref="B37:M37" si="13">B31</f>
        <v>T1</v>
      </c>
      <c r="C37" s="1" t="str">
        <f t="shared" si="13"/>
        <v>T2</v>
      </c>
      <c r="D37" s="1" t="str">
        <f t="shared" si="13"/>
        <v>T3</v>
      </c>
      <c r="E37" s="1" t="str">
        <f t="shared" si="13"/>
        <v>T4</v>
      </c>
      <c r="F37" s="1" t="str">
        <f t="shared" si="13"/>
        <v>T5</v>
      </c>
      <c r="G37" s="1" t="str">
        <f t="shared" si="13"/>
        <v>T6</v>
      </c>
      <c r="H37" s="1" t="str">
        <f t="shared" si="13"/>
        <v>T7</v>
      </c>
      <c r="I37" s="1" t="str">
        <f t="shared" si="13"/>
        <v>T8</v>
      </c>
      <c r="J37" s="1" t="str">
        <f t="shared" si="13"/>
        <v>T9</v>
      </c>
      <c r="K37" s="1" t="str">
        <f t="shared" si="13"/>
        <v>T10</v>
      </c>
      <c r="L37" s="1" t="str">
        <f t="shared" si="13"/>
        <v>T11</v>
      </c>
      <c r="M37" s="1" t="str">
        <f t="shared" si="13"/>
        <v>T12</v>
      </c>
    </row>
    <row r="38" spans="1:13" x14ac:dyDescent="0.3">
      <c r="A38" s="1" t="str">
        <f t="shared" ref="A38:B42" si="14">A32</f>
        <v>Oil A 20 LT</v>
      </c>
      <c r="B38" s="1">
        <f t="shared" si="14"/>
        <v>12588.09</v>
      </c>
      <c r="C38" s="1">
        <f>($Q$7*'Single Exponen'!C2)+($R$7*B38)</f>
        <v>12042.206200000001</v>
      </c>
      <c r="D38" s="1">
        <f>($Q$7*'Single Exponen'!D2)+($R$7*C38)</f>
        <v>12523.67194</v>
      </c>
      <c r="E38" s="1">
        <f>($Q$7*'Single Exponen'!E2)+($R$7*D38)</f>
        <v>12554.078554000002</v>
      </c>
      <c r="F38" s="1">
        <f>($Q$7*'Single Exponen'!F2)+($R$7*E38)</f>
        <v>12320.199041000003</v>
      </c>
      <c r="G38" s="1">
        <f>($Q$7*'Single Exponen'!G2)+($R$7*F38)</f>
        <v>11967.612839620004</v>
      </c>
      <c r="H38" s="1">
        <f>($Q$7*'Single Exponen'!H2)+($R$7*G38)</f>
        <v>12313.259666474005</v>
      </c>
      <c r="I38" s="1">
        <f>($Q$7*'Single Exponen'!I2)+($R$7*H38)</f>
        <v>12317.783733071405</v>
      </c>
      <c r="J38" s="1">
        <f>($Q$7*'Single Exponen'!J2)+($R$7*I38)</f>
        <v>12219.028869737704</v>
      </c>
      <c r="K38" s="1">
        <f>($Q$7*'Single Exponen'!K2)+($R$7*J38)</f>
        <v>11925.476835755966</v>
      </c>
      <c r="L38" s="1">
        <f>($Q$7*'Single Exponen'!L2)+($R$7*K38)</f>
        <v>12281.93090807798</v>
      </c>
      <c r="M38" s="1">
        <f>($Q$7*'Single Exponen'!M2)+($R$7*L38)</f>
        <v>12351.815644039467</v>
      </c>
    </row>
    <row r="39" spans="1:13" x14ac:dyDescent="0.3">
      <c r="A39" s="1" t="str">
        <f t="shared" si="14"/>
        <v>Oil A 200 LT</v>
      </c>
      <c r="B39" s="1">
        <f t="shared" si="14"/>
        <v>459915.78</v>
      </c>
      <c r="C39" s="1">
        <f>($Q$7*'Single Exponen'!C3)+($R$7*B39)</f>
        <v>455527.12860000005</v>
      </c>
      <c r="D39" s="1">
        <f>($Q$7*'Single Exponen'!D3)+($R$7*C39)</f>
        <v>449702.02232000005</v>
      </c>
      <c r="E39" s="1">
        <f>($Q$7*'Single Exponen'!E3)+($R$7*D39)</f>
        <v>452063.38906200003</v>
      </c>
      <c r="F39" s="1">
        <f>($Q$7*'Single Exponen'!F3)+($R$7*E39)</f>
        <v>435132.09144800005</v>
      </c>
      <c r="G39" s="1">
        <f>($Q$7*'Single Exponen'!G3)+($R$7*F39)</f>
        <v>426580.42069086002</v>
      </c>
      <c r="H39" s="1">
        <f>($Q$7*'Single Exponen'!H3)+($R$7*G39)</f>
        <v>426854.34773807204</v>
      </c>
      <c r="I39" s="1">
        <f>($Q$7*'Single Exponen'!I3)+($R$7*H39)</f>
        <v>432878.76389915426</v>
      </c>
      <c r="J39" s="1">
        <f>($Q$7*'Single Exponen'!J3)+($R$7*I39)</f>
        <v>440125.75678970572</v>
      </c>
      <c r="K39" s="1">
        <f>($Q$7*'Single Exponen'!K3)+($R$7*J39)</f>
        <v>448074.28409487521</v>
      </c>
      <c r="L39" s="1">
        <f>($Q$7*'Single Exponen'!L3)+($R$7*K39)</f>
        <v>452505.02378062974</v>
      </c>
      <c r="M39" s="1">
        <f>($Q$7*'Single Exponen'!M3)+($R$7*L39)</f>
        <v>452023.25663113943</v>
      </c>
    </row>
    <row r="40" spans="1:13" x14ac:dyDescent="0.3">
      <c r="A40" s="1" t="str">
        <f t="shared" si="14"/>
        <v>Oil A 1000 LT</v>
      </c>
      <c r="B40" s="1">
        <f t="shared" si="14"/>
        <v>23458.3</v>
      </c>
      <c r="C40" s="1">
        <f>($Q$7*'Single Exponen'!C4)+($R$7*B40)</f>
        <v>24771.381000000001</v>
      </c>
      <c r="D40" s="1">
        <f>($Q$7*'Single Exponen'!D4)+($R$7*C40)</f>
        <v>25404.549199999998</v>
      </c>
      <c r="E40" s="1">
        <f>($Q$7*'Single Exponen'!E4)+($R$7*D40)</f>
        <v>26553.569169999999</v>
      </c>
      <c r="F40" s="1">
        <f>($Q$7*'Single Exponen'!F4)+($R$7*E40)</f>
        <v>26675.366719999998</v>
      </c>
      <c r="G40" s="1">
        <f>($Q$7*'Single Exponen'!G4)+($R$7*F40)</f>
        <v>28846.159388100001</v>
      </c>
      <c r="H40" s="1">
        <f>($Q$7*'Single Exponen'!H4)+($R$7*G40)</f>
        <v>33274.611251320006</v>
      </c>
      <c r="I40" s="1">
        <f>($Q$7*'Single Exponen'!I4)+($R$7*H40)</f>
        <v>35924.794466797</v>
      </c>
      <c r="J40" s="1">
        <f>($Q$7*'Single Exponen'!J4)+($R$7*I40)</f>
        <v>34914.123322300002</v>
      </c>
      <c r="K40" s="1">
        <f>($Q$7*'Single Exponen'!K4)+($R$7*J40)</f>
        <v>33892.303480724811</v>
      </c>
      <c r="L40" s="1">
        <f>($Q$7*'Single Exponen'!L4)+($R$7*K40)</f>
        <v>33124.192879848779</v>
      </c>
      <c r="M40" s="1">
        <f>($Q$7*'Single Exponen'!M4)+($R$7*L40)</f>
        <v>32967.798516022835</v>
      </c>
    </row>
    <row r="41" spans="1:13" x14ac:dyDescent="0.3">
      <c r="A41" s="1" t="str">
        <f t="shared" si="14"/>
        <v>Oil B 20 LT</v>
      </c>
      <c r="B41" s="1">
        <f t="shared" si="14"/>
        <v>4698.6499999999996</v>
      </c>
      <c r="C41" s="1">
        <f>($Q$7*'Single Exponen'!C5)+($R$7*B41)</f>
        <v>4974.8944999999994</v>
      </c>
      <c r="D41" s="1">
        <f>($Q$7*'Single Exponen'!D5)+($R$7*C41)</f>
        <v>5260.4993999999997</v>
      </c>
      <c r="E41" s="1">
        <f>($Q$7*'Single Exponen'!E5)+($R$7*D41)</f>
        <v>5427.4269649999997</v>
      </c>
      <c r="F41" s="1">
        <f>($Q$7*'Single Exponen'!F5)+($R$7*E41)</f>
        <v>8291.4095199999992</v>
      </c>
      <c r="G41" s="1">
        <f>($Q$7*'Single Exponen'!G5)+($R$7*F41)</f>
        <v>8970.2975434500004</v>
      </c>
      <c r="H41" s="1">
        <f>($Q$7*'Single Exponen'!H5)+($R$7*G41)</f>
        <v>9129.6161817400007</v>
      </c>
      <c r="I41" s="1">
        <f>($Q$7*'Single Exponen'!I5)+($R$7*H41)</f>
        <v>9737.1390813565013</v>
      </c>
      <c r="J41" s="1">
        <f>($Q$7*'Single Exponen'!J5)+($R$7*I41)</f>
        <v>10426.510528558003</v>
      </c>
      <c r="K41" s="1">
        <f>($Q$7*'Single Exponen'!K5)+($R$7*J41)</f>
        <v>12344.489082303346</v>
      </c>
      <c r="L41" s="1">
        <f>($Q$7*'Single Exponen'!L5)+($R$7*K41)</f>
        <v>12456.267056053355</v>
      </c>
      <c r="M41" s="1">
        <f>($Q$7*'Single Exponen'!M5)+($R$7*L41)</f>
        <v>12202.616215042122</v>
      </c>
    </row>
    <row r="42" spans="1:13" x14ac:dyDescent="0.3">
      <c r="A42" s="1" t="str">
        <f t="shared" si="14"/>
        <v>Oil B 200 LT</v>
      </c>
      <c r="B42" s="1">
        <f t="shared" si="14"/>
        <v>1033.08</v>
      </c>
      <c r="C42" s="1">
        <f>($Q$7*'Single Exponen'!C6)+($R$7*B42)</f>
        <v>2744.2201999999997</v>
      </c>
      <c r="D42" s="1">
        <f>($Q$7*'Single Exponen'!D6)+($R$7*C42)</f>
        <v>4378.9240399999999</v>
      </c>
      <c r="E42" s="1">
        <f>($Q$7*'Single Exponen'!E6)+($R$7*D42)</f>
        <v>5833.6823939999995</v>
      </c>
      <c r="F42" s="1">
        <f>($Q$7*'Single Exponen'!F6)+($R$7*E42)</f>
        <v>7697.7213819999997</v>
      </c>
      <c r="G42" s="1">
        <f>($Q$7*'Single Exponen'!G6)+($R$7*F42)</f>
        <v>8884.9517120199998</v>
      </c>
      <c r="H42" s="1">
        <f>($Q$7*'Single Exponen'!H6)+($R$7*G42)</f>
        <v>12318.634081284003</v>
      </c>
      <c r="I42" s="1">
        <f>($Q$7*'Single Exponen'!I6)+($R$7*H42)</f>
        <v>14621.552135295404</v>
      </c>
      <c r="J42" s="1">
        <f>($Q$7*'Single Exponen'!J6)+($R$7*I42)</f>
        <v>16216.427360407803</v>
      </c>
      <c r="K42" s="1">
        <f>($Q$7*'Single Exponen'!K6)+($R$7*J42)</f>
        <v>19087.371955959607</v>
      </c>
      <c r="L42" s="1">
        <f>($Q$7*'Single Exponen'!L6)+($R$7*K42)</f>
        <v>22036.902559841423</v>
      </c>
      <c r="M42" s="1">
        <f>($Q$7*'Single Exponen'!M6)+($R$7*L42)</f>
        <v>24293.512043700612</v>
      </c>
    </row>
    <row r="43" spans="1:13" x14ac:dyDescent="0.3">
      <c r="A43" s="1">
        <f>Q8</f>
        <v>0.8</v>
      </c>
      <c r="B43" s="1" t="str">
        <f t="shared" ref="B43:M43" si="15">B37</f>
        <v>T1</v>
      </c>
      <c r="C43" s="1" t="str">
        <f t="shared" si="15"/>
        <v>T2</v>
      </c>
      <c r="D43" s="1" t="str">
        <f t="shared" si="15"/>
        <v>T3</v>
      </c>
      <c r="E43" s="1" t="str">
        <f t="shared" si="15"/>
        <v>T4</v>
      </c>
      <c r="F43" s="1" t="str">
        <f t="shared" si="15"/>
        <v>T5</v>
      </c>
      <c r="G43" s="1" t="str">
        <f t="shared" si="15"/>
        <v>T6</v>
      </c>
      <c r="H43" s="1" t="str">
        <f t="shared" si="15"/>
        <v>T7</v>
      </c>
      <c r="I43" s="1" t="str">
        <f t="shared" si="15"/>
        <v>T8</v>
      </c>
      <c r="J43" s="1" t="str">
        <f t="shared" si="15"/>
        <v>T9</v>
      </c>
      <c r="K43" s="1" t="str">
        <f t="shared" si="15"/>
        <v>T10</v>
      </c>
      <c r="L43" s="1" t="str">
        <f t="shared" si="15"/>
        <v>T11</v>
      </c>
      <c r="M43" s="1" t="str">
        <f t="shared" si="15"/>
        <v>T12</v>
      </c>
    </row>
    <row r="44" spans="1:13" x14ac:dyDescent="0.3">
      <c r="A44" s="1" t="str">
        <f t="shared" ref="A44:B48" si="16">A38</f>
        <v>Oil A 20 LT</v>
      </c>
      <c r="B44" s="1">
        <f t="shared" si="16"/>
        <v>12588.09</v>
      </c>
      <c r="C44" s="1">
        <f>($Q$8*'Single Exponen'!C2)+($R$8*B44)</f>
        <v>11964.2228</v>
      </c>
      <c r="D44" s="1">
        <f>($Q$8*'Single Exponen'!D2)+($R$8*C44)</f>
        <v>12576.856080000001</v>
      </c>
      <c r="E44" s="1">
        <f>($Q$8*'Single Exponen'!E2)+($R$8*D44)</f>
        <v>12569.059184000002</v>
      </c>
      <c r="F44" s="1">
        <f>($Q$8*'Single Exponen'!F2)+($R$8*E44)</f>
        <v>12289.783808000002</v>
      </c>
      <c r="G44" s="1">
        <f>($Q$8*'Single Exponen'!G2)+($R$8*F44)</f>
        <v>11911.160335680004</v>
      </c>
      <c r="H44" s="1">
        <f>($Q$8*'Single Exponen'!H2)+($R$8*G44)</f>
        <v>12351.347283808005</v>
      </c>
      <c r="I44" s="1">
        <f>($Q$8*'Single Exponen'!I2)+($R$8*H44)</f>
        <v>12326.047551766404</v>
      </c>
      <c r="J44" s="1">
        <f>($Q$8*'Single Exponen'!J2)+($R$8*I44)</f>
        <v>12206.573795857603</v>
      </c>
      <c r="K44" s="1">
        <f>($Q$8*'Single Exponen'!K2)+($R$8*J44)</f>
        <v>11881.049816125413</v>
      </c>
      <c r="L44" s="1">
        <f>($Q$8*'Single Exponen'!L2)+($R$8*K44)</f>
        <v>12323.967514483586</v>
      </c>
      <c r="M44" s="1">
        <f>($Q$8*'Single Exponen'!M2)+($R$8*L44)</f>
        <v>12370.206499029371</v>
      </c>
    </row>
    <row r="45" spans="1:13" x14ac:dyDescent="0.3">
      <c r="A45" s="1" t="str">
        <f t="shared" si="16"/>
        <v>Oil A 200 LT</v>
      </c>
      <c r="B45" s="1">
        <f t="shared" si="16"/>
        <v>459915.78</v>
      </c>
      <c r="C45" s="1">
        <f>($Q$8*'Single Exponen'!C3)+($R$8*B45)</f>
        <v>454900.17840000009</v>
      </c>
      <c r="D45" s="1">
        <f>($Q$8*'Single Exponen'!D3)+($R$8*C45)</f>
        <v>448744.47424000001</v>
      </c>
      <c r="E45" s="1">
        <f>($Q$8*'Single Exponen'!E3)+($R$8*D45)</f>
        <v>452209.21755200002</v>
      </c>
      <c r="F45" s="1">
        <f>($Q$8*'Single Exponen'!F3)+($R$8*E45)</f>
        <v>432742.500344</v>
      </c>
      <c r="G45" s="1">
        <f>($Q$8*'Single Exponen'!G3)+($R$8*F45)</f>
        <v>424880.83521904005</v>
      </c>
      <c r="H45" s="1">
        <f>($Q$8*'Single Exponen'!H3)+($R$8*G45)</f>
        <v>426553.56307902402</v>
      </c>
      <c r="I45" s="1">
        <f>($Q$8*'Single Exponen'!I3)+($R$8*H45)</f>
        <v>433679.23784749932</v>
      </c>
      <c r="J45" s="1">
        <f>($Q$8*'Single Exponen'!J3)+($R$8*I45)</f>
        <v>441321.13627802493</v>
      </c>
      <c r="K45" s="1">
        <f>($Q$8*'Single Exponen'!K3)+($R$8*J45)</f>
        <v>449448.86389327759</v>
      </c>
      <c r="L45" s="1">
        <f>($Q$8*'Single Exponen'!L3)+($R$8*K45)</f>
        <v>453412.9025525609</v>
      </c>
      <c r="M45" s="1">
        <f>($Q$8*'Single Exponen'!M3)+($R$8*L45)</f>
        <v>452136.008507027</v>
      </c>
    </row>
    <row r="46" spans="1:13" x14ac:dyDescent="0.3">
      <c r="A46" s="1" t="str">
        <f t="shared" si="16"/>
        <v>Oil A 1000 LT</v>
      </c>
      <c r="B46" s="1">
        <f t="shared" si="16"/>
        <v>23458.3</v>
      </c>
      <c r="C46" s="1">
        <f>($Q$8*'Single Exponen'!C4)+($R$8*B46)</f>
        <v>24958.964000000004</v>
      </c>
      <c r="D46" s="1">
        <f>($Q$8*'Single Exponen'!D4)+($R$8*C46)</f>
        <v>25532.518400000001</v>
      </c>
      <c r="E46" s="1">
        <f>($Q$8*'Single Exponen'!E4)+($R$8*D46)</f>
        <v>26743.308720000001</v>
      </c>
      <c r="F46" s="1">
        <f>($Q$8*'Single Exponen'!F4)+($R$8*E46)</f>
        <v>26730.71428</v>
      </c>
      <c r="G46" s="1">
        <f>($Q$8*'Single Exponen'!G4)+($R$8*F46)</f>
        <v>29167.342138400003</v>
      </c>
      <c r="H46" s="1">
        <f>($Q$8*'Single Exponen'!H4)+($R$8*G46)</f>
        <v>33971.483781840005</v>
      </c>
      <c r="I46" s="1">
        <f>($Q$8*'Single Exponen'!I4)+($R$8*H46)</f>
        <v>36442.766575112008</v>
      </c>
      <c r="J46" s="1">
        <f>($Q$8*'Single Exponen'!J4)+($R$8*I46)</f>
        <v>34873.336151892006</v>
      </c>
      <c r="K46" s="1">
        <f>($Q$8*'Single Exponen'!K4)+($R$8*J46)</f>
        <v>33738.171783561047</v>
      </c>
      <c r="L46" s="1">
        <f>($Q$8*'Single Exponen'!L4)+($R$8*K46)</f>
        <v>32983.63645457659</v>
      </c>
      <c r="M46" s="1">
        <f>($Q$8*'Single Exponen'!M4)+($R$8*L46)</f>
        <v>32917.345178993259</v>
      </c>
    </row>
    <row r="47" spans="1:13" x14ac:dyDescent="0.3">
      <c r="A47" s="1" t="str">
        <f t="shared" si="16"/>
        <v>Oil B 20 LT</v>
      </c>
      <c r="B47" s="1">
        <f t="shared" si="16"/>
        <v>4698.6499999999996</v>
      </c>
      <c r="C47" s="1">
        <f>($Q$8*'Single Exponen'!C5)+($R$8*B47)</f>
        <v>5014.3580000000002</v>
      </c>
      <c r="D47" s="1">
        <f>($Q$8*'Single Exponen'!D5)+($R$8*C47)</f>
        <v>5309.1927999999998</v>
      </c>
      <c r="E47" s="1">
        <f>($Q$8*'Single Exponen'!E5)+($R$8*D47)</f>
        <v>5461.0124400000004</v>
      </c>
      <c r="F47" s="1">
        <f>($Q$8*'Single Exponen'!F5)+($R$8*E47)</f>
        <v>8707.2669800000003</v>
      </c>
      <c r="G47" s="1">
        <f>($Q$8*'Single Exponen'!G5)+($R$8*F47)</f>
        <v>9150.4530388000003</v>
      </c>
      <c r="H47" s="1">
        <f>($Q$8*'Single Exponen'!H5)+($R$8*G47)</f>
        <v>9188.4070862799999</v>
      </c>
      <c r="I47" s="1">
        <f>($Q$8*'Single Exponen'!I5)+($R$8*H47)</f>
        <v>9835.6862479240008</v>
      </c>
      <c r="J47" s="1">
        <f>($Q$8*'Single Exponen'!J5)+($R$8*I47)</f>
        <v>10544.701597186002</v>
      </c>
      <c r="K47" s="1">
        <f>($Q$8*'Single Exponen'!K5)+($R$8*J47)</f>
        <v>12642.124232278282</v>
      </c>
      <c r="L47" s="1">
        <f>($Q$8*'Single Exponen'!L5)+($R$8*K47)</f>
        <v>12531.762368012631</v>
      </c>
      <c r="M47" s="1">
        <f>($Q$8*'Single Exponen'!M5)+($R$8*L47)</f>
        <v>12181.479443003802</v>
      </c>
    </row>
    <row r="48" spans="1:13" x14ac:dyDescent="0.3">
      <c r="A48" s="1" t="str">
        <f t="shared" si="16"/>
        <v>Oil B 200 LT</v>
      </c>
      <c r="B48" s="1">
        <f t="shared" si="16"/>
        <v>1033.08</v>
      </c>
      <c r="C48" s="1">
        <f>($Q$8*'Single Exponen'!C6)+($R$8*B48)</f>
        <v>2988.6687999999999</v>
      </c>
      <c r="D48" s="1">
        <f>($Q$8*'Single Exponen'!D6)+($R$8*C48)</f>
        <v>4661.3428800000002</v>
      </c>
      <c r="E48" s="1">
        <f>($Q$8*'Single Exponen'!E6)+($R$8*D48)</f>
        <v>6097.9887840000001</v>
      </c>
      <c r="F48" s="1">
        <f>($Q$8*'Single Exponen'!F6)+($R$8*E48)</f>
        <v>8016.8739440000008</v>
      </c>
      <c r="G48" s="1">
        <f>($Q$8*'Single Exponen'!G6)+($R$8*F48)</f>
        <v>9118.3865572800005</v>
      </c>
      <c r="H48" s="1">
        <f>($Q$8*'Single Exponen'!H6)+($R$8*G48)</f>
        <v>12855.847103088003</v>
      </c>
      <c r="I48" s="1">
        <f>($Q$8*'Single Exponen'!I6)+($R$8*H48)</f>
        <v>15057.983033086402</v>
      </c>
      <c r="J48" s="1">
        <f>($Q$8*'Single Exponen'!J6)+($R$8*I48)</f>
        <v>16531.5528578392</v>
      </c>
      <c r="K48" s="1">
        <f>($Q$8*'Single Exponen'!K6)+($R$8*J48)</f>
        <v>19560.531997667571</v>
      </c>
      <c r="L48" s="1">
        <f>($Q$8*'Single Exponen'!L6)+($R$8*K48)</f>
        <v>22552.896083023275</v>
      </c>
      <c r="M48" s="1">
        <f>($Q$8*'Single Exponen'!M6)+($R$8*L48)</f>
        <v>24719.08353174544</v>
      </c>
    </row>
    <row r="49" spans="1:13" x14ac:dyDescent="0.3">
      <c r="A49" s="1">
        <f>Q9</f>
        <v>0.9</v>
      </c>
      <c r="B49" s="1" t="str">
        <f t="shared" ref="B49:B54" si="17">B43</f>
        <v>T1</v>
      </c>
      <c r="C49" s="1" t="str">
        <f t="shared" ref="C49:M49" si="18">C43</f>
        <v>T2</v>
      </c>
      <c r="D49" s="1" t="str">
        <f t="shared" si="18"/>
        <v>T3</v>
      </c>
      <c r="E49" s="1" t="str">
        <f t="shared" si="18"/>
        <v>T4</v>
      </c>
      <c r="F49" s="1" t="str">
        <f t="shared" si="18"/>
        <v>T5</v>
      </c>
      <c r="G49" s="1" t="str">
        <f t="shared" si="18"/>
        <v>T6</v>
      </c>
      <c r="H49" s="1" t="str">
        <f t="shared" si="18"/>
        <v>T7</v>
      </c>
      <c r="I49" s="1" t="str">
        <f t="shared" si="18"/>
        <v>T8</v>
      </c>
      <c r="J49" s="1" t="str">
        <f t="shared" si="18"/>
        <v>T9</v>
      </c>
      <c r="K49" s="1" t="str">
        <f t="shared" si="18"/>
        <v>T10</v>
      </c>
      <c r="L49" s="1" t="str">
        <f t="shared" si="18"/>
        <v>T11</v>
      </c>
      <c r="M49" s="1" t="str">
        <f t="shared" si="18"/>
        <v>T12</v>
      </c>
    </row>
    <row r="50" spans="1:13" x14ac:dyDescent="0.3">
      <c r="A50" s="1" t="str">
        <f>A44</f>
        <v>Oil A 20 LT</v>
      </c>
      <c r="B50" s="1">
        <f t="shared" si="17"/>
        <v>12588.09</v>
      </c>
      <c r="C50" s="1">
        <f>($Q$9*'Single Exponen'!C2)+($R$9*B50)</f>
        <v>11886.2394</v>
      </c>
      <c r="D50" s="1">
        <f>($Q$9*'Single Exponen'!D2)+($R$9*C50)</f>
        <v>12645.636900000001</v>
      </c>
      <c r="E50" s="1">
        <f>($Q$9*'Single Exponen'!E2)+($R$9*D50)</f>
        <v>12574.962654000003</v>
      </c>
      <c r="F50" s="1">
        <f>($Q$9*'Single Exponen'!F2)+($R$9*E50)</f>
        <v>12255.464733000004</v>
      </c>
      <c r="G50" s="1">
        <f>($Q$9*'Single Exponen'!G2)+($R$9*F50)</f>
        <v>11860.400494140004</v>
      </c>
      <c r="H50" s="1">
        <f>($Q$9*'Single Exponen'!H2)+($R$9*G50)</f>
        <v>12401.294668170003</v>
      </c>
      <c r="I50" s="1">
        <f>($Q$9*'Single Exponen'!I2)+($R$9*H50)</f>
        <v>12327.879823697403</v>
      </c>
      <c r="J50" s="1">
        <f>($Q$9*'Single Exponen'!J2)+($R$9*I50)</f>
        <v>12191.822803562105</v>
      </c>
      <c r="K50" s="1">
        <f>($Q$9*'Single Exponen'!K2)+($R$9*J50)</f>
        <v>11838.884219429339</v>
      </c>
      <c r="L50" s="1">
        <f>($Q$9*'Single Exponen'!L2)+($R$9*K50)</f>
        <v>12375.115667108752</v>
      </c>
      <c r="M50" s="1">
        <f>($Q$9*'Single Exponen'!M2)+($R$9*L50)</f>
        <v>12381.101187360111</v>
      </c>
    </row>
    <row r="51" spans="1:13" x14ac:dyDescent="0.3">
      <c r="A51" s="1" t="str">
        <f>A45</f>
        <v>Oil A 200 LT</v>
      </c>
      <c r="B51" s="1">
        <f t="shared" si="17"/>
        <v>459915.78</v>
      </c>
      <c r="C51" s="1">
        <f>($Q$9*'Single Exponen'!C3)+($R$9*B51)</f>
        <v>454273.22820000001</v>
      </c>
      <c r="D51" s="1">
        <f>($Q$9*'Single Exponen'!D3)+($R$9*C51)</f>
        <v>447912.3162</v>
      </c>
      <c r="E51" s="1">
        <f>($Q$9*'Single Exponen'!E3)+($R$9*D51)</f>
        <v>452559.09466200002</v>
      </c>
      <c r="F51" s="1">
        <f>($Q$9*'Single Exponen'!F3)+($R$9*E51)</f>
        <v>430344.14840400004</v>
      </c>
      <c r="G51" s="1">
        <f>($Q$9*'Single Exponen'!G3)+($R$9*F51)</f>
        <v>423658.29188442003</v>
      </c>
      <c r="H51" s="1">
        <f>($Q$9*'Single Exponen'!H3)+($R$9*G51)</f>
        <v>426640.39972806006</v>
      </c>
      <c r="I51" s="1">
        <f>($Q$9*'Single Exponen'!I3)+($R$9*H51)</f>
        <v>434578.6308584623</v>
      </c>
      <c r="J51" s="1">
        <f>($Q$9*'Single Exponen'!J3)+($R$9*I51)</f>
        <v>442366.31288293697</v>
      </c>
      <c r="K51" s="1">
        <f>($Q$9*'Single Exponen'!K3)+($R$9*J51)</f>
        <v>450569.3475056754</v>
      </c>
      <c r="L51" s="1">
        <f>($Q$9*'Single Exponen'!L3)+($R$9*K51)</f>
        <v>454020.45574621105</v>
      </c>
      <c r="M51" s="1">
        <f>($Q$9*'Single Exponen'!M3)+($R$9*L51)</f>
        <v>452037.15207070031</v>
      </c>
    </row>
    <row r="52" spans="1:13" x14ac:dyDescent="0.3">
      <c r="A52" s="1" t="str">
        <f>A46</f>
        <v>Oil A 1000 LT</v>
      </c>
      <c r="B52" s="1">
        <f t="shared" si="17"/>
        <v>23458.3</v>
      </c>
      <c r="C52" s="1">
        <f>($Q$9*'Single Exponen'!C4)+($R$9*B52)</f>
        <v>25146.546999999999</v>
      </c>
      <c r="D52" s="1">
        <f>($Q$9*'Single Exponen'!D4)+($R$9*C52)</f>
        <v>25622.970999999998</v>
      </c>
      <c r="E52" s="1">
        <f>($Q$9*'Single Exponen'!E4)+($R$9*D52)</f>
        <v>26903.70277</v>
      </c>
      <c r="F52" s="1">
        <f>($Q$9*'Single Exponen'!F4)+($R$9*E52)</f>
        <v>26745.179379999998</v>
      </c>
      <c r="G52" s="1">
        <f>($Q$9*'Single Exponen'!G4)+($R$9*F52)</f>
        <v>29473.367130700004</v>
      </c>
      <c r="H52" s="1">
        <f>($Q$9*'Single Exponen'!H4)+($R$9*G52)</f>
        <v>34602.603986500006</v>
      </c>
      <c r="I52" s="1">
        <f>($Q$9*'Single Exponen'!I4)+($R$9*H52)</f>
        <v>36814.788944737011</v>
      </c>
      <c r="J52" s="1">
        <f>($Q$9*'Single Exponen'!J4)+($R$9*I52)</f>
        <v>34714.359585952006</v>
      </c>
      <c r="K52" s="1">
        <f>($Q$9*'Single Exponen'!K4)+($R$9*J52)</f>
        <v>33580.378580925673</v>
      </c>
      <c r="L52" s="1">
        <f>($Q$9*'Single Exponen'!L4)+($R$9*K52)</f>
        <v>32873.540218189992</v>
      </c>
      <c r="M52" s="1">
        <f>($Q$9*'Single Exponen'!M4)+($R$9*L52)</f>
        <v>32898.049145906683</v>
      </c>
    </row>
    <row r="53" spans="1:13" x14ac:dyDescent="0.3">
      <c r="A53" s="1" t="str">
        <f>A47</f>
        <v>Oil B 20 LT</v>
      </c>
      <c r="B53" s="1">
        <f t="shared" si="17"/>
        <v>4698.6499999999996</v>
      </c>
      <c r="C53" s="1">
        <f>($Q$9*'Single Exponen'!C5)+($R$9*B53)</f>
        <v>5053.8215</v>
      </c>
      <c r="D53" s="1">
        <f>($Q$9*'Single Exponen'!D5)+($R$9*C53)</f>
        <v>5349.9935000000005</v>
      </c>
      <c r="E53" s="1">
        <f>($Q$9*'Single Exponen'!E5)+($R$9*D53)</f>
        <v>5484.0699649999997</v>
      </c>
      <c r="F53" s="1">
        <f>($Q$9*'Single Exponen'!F5)+($R$9*E53)</f>
        <v>9115.35455</v>
      </c>
      <c r="G53" s="1">
        <f>($Q$9*'Single Exponen'!G5)+($R$9*F53)</f>
        <v>9246.6600531499989</v>
      </c>
      <c r="H53" s="1">
        <f>($Q$9*'Single Exponen'!H5)+($R$9*G53)</f>
        <v>9202.7720436500003</v>
      </c>
      <c r="I53" s="1">
        <f>($Q$9*'Single Exponen'!I5)+($R$9*H53)</f>
        <v>9918.0326388665017</v>
      </c>
      <c r="J53" s="1">
        <f>($Q$9*'Single Exponen'!J5)+($R$9*I53)</f>
        <v>10641.563154938001</v>
      </c>
      <c r="K53" s="1">
        <f>($Q$9*'Single Exponen'!K5)+($R$9*J53)</f>
        <v>12913.988217440015</v>
      </c>
      <c r="L53" s="1">
        <f>($Q$9*'Single Exponen'!L5)+($R$9*K53)</f>
        <v>12545.153533495597</v>
      </c>
      <c r="M53" s="1">
        <f>($Q$9*'Single Exponen'!M5)+($R$9*L53)</f>
        <v>12139.033193925996</v>
      </c>
    </row>
    <row r="54" spans="1:13" x14ac:dyDescent="0.3">
      <c r="A54" s="1" t="str">
        <f>A48</f>
        <v>Oil B 200 LT</v>
      </c>
      <c r="B54" s="1">
        <f t="shared" si="17"/>
        <v>1033.08</v>
      </c>
      <c r="C54" s="1">
        <f>($Q$9*'Single Exponen'!C6)+($R$9*B54)</f>
        <v>3233.1174000000001</v>
      </c>
      <c r="D54" s="1">
        <f>($Q$9*'Single Exponen'!D6)+($R$9*C54)</f>
        <v>4894.8720000000003</v>
      </c>
      <c r="E54" s="1">
        <f>($Q$9*'Single Exponen'!E6)+($R$9*D54)</f>
        <v>6300.9224340000001</v>
      </c>
      <c r="F54" s="1">
        <f>($Q$9*'Single Exponen'!F6)+($R$9*E54)</f>
        <v>8277.027954000001</v>
      </c>
      <c r="G54" s="1">
        <f>($Q$9*'Single Exponen'!G6)+($R$9*F54)</f>
        <v>9282.0910349400019</v>
      </c>
      <c r="H54" s="1">
        <f>($Q$9*'Single Exponen'!H6)+($R$9*G54)</f>
        <v>13339.400119080003</v>
      </c>
      <c r="I54" s="1">
        <f>($Q$9*'Single Exponen'!I6)+($R$9*H54)</f>
        <v>15381.605325935403</v>
      </c>
      <c r="J54" s="1">
        <f>($Q$9*'Single Exponen'!J6)+($R$9*I54)</f>
        <v>16748.111315218204</v>
      </c>
      <c r="K54" s="1">
        <f>($Q$9*'Single Exponen'!K6)+($R$9*J54)</f>
        <v>19960.810235884019</v>
      </c>
      <c r="L54" s="1">
        <f>($Q$9*'Single Exponen'!L6)+($R$9*K54)</f>
        <v>22966.969417514381</v>
      </c>
      <c r="M54" s="1">
        <f>($Q$9*'Single Exponen'!M6)+($R$9*L54)</f>
        <v>25031.264296284822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4EE87-4E49-4DB7-8759-537FEBF2CB7C}">
  <dimension ref="A1:R54"/>
  <sheetViews>
    <sheetView workbookViewId="0">
      <selection activeCell="Q15" sqref="Q15"/>
    </sheetView>
  </sheetViews>
  <sheetFormatPr defaultColWidth="8.88671875" defaultRowHeight="14.4" x14ac:dyDescent="0.3"/>
  <cols>
    <col min="1" max="1" width="14.109375" style="1" bestFit="1" customWidth="1"/>
    <col min="2" max="13" width="9.44140625" style="1" bestFit="1" customWidth="1"/>
    <col min="14" max="17" width="8.88671875" style="1"/>
    <col min="18" max="18" width="2" style="1" bestFit="1" customWidth="1"/>
    <col min="19" max="16384" width="8.88671875" style="1"/>
  </cols>
  <sheetData>
    <row r="1" spans="1:18" x14ac:dyDescent="0.3">
      <c r="A1" s="7">
        <f>'Double Exponen'!A1</f>
        <v>0.1</v>
      </c>
      <c r="B1" s="7" t="str">
        <f>'Double Exponen'!B1</f>
        <v>T1</v>
      </c>
      <c r="C1" s="7" t="str">
        <f>'Double Exponen'!C1</f>
        <v>T2</v>
      </c>
      <c r="D1" s="7" t="str">
        <f>'Double Exponen'!D1</f>
        <v>T3</v>
      </c>
      <c r="E1" s="7" t="str">
        <f>'Double Exponen'!E1</f>
        <v>T4</v>
      </c>
      <c r="F1" s="7" t="str">
        <f>'Double Exponen'!F1</f>
        <v>T5</v>
      </c>
      <c r="G1" s="7" t="str">
        <f>'Double Exponen'!G1</f>
        <v>T6</v>
      </c>
      <c r="H1" s="7" t="str">
        <f>'Double Exponen'!H1</f>
        <v>T7</v>
      </c>
      <c r="I1" s="7" t="str">
        <f>'Double Exponen'!I1</f>
        <v>T8</v>
      </c>
      <c r="J1" s="7" t="str">
        <f>'Double Exponen'!J1</f>
        <v>T9</v>
      </c>
      <c r="K1" s="7" t="str">
        <f>'Double Exponen'!K1</f>
        <v>T10</v>
      </c>
      <c r="L1" s="7" t="str">
        <f>'Double Exponen'!L1</f>
        <v>T11</v>
      </c>
      <c r="M1" s="7" t="str">
        <f>'Double Exponen'!M1</f>
        <v>T12</v>
      </c>
      <c r="R1" s="1">
        <v>2</v>
      </c>
    </row>
    <row r="2" spans="1:18" x14ac:dyDescent="0.3">
      <c r="A2" s="7" t="str">
        <f>'Double Exponen'!A2</f>
        <v>Oil A 20 LT</v>
      </c>
      <c r="B2" s="7">
        <f>($R$1*'Single Exponen'!B2)-'Double Exponen'!B2</f>
        <v>12588.09</v>
      </c>
      <c r="C2" s="7">
        <f>($R$1*'Single Exponen'!C2)-'Double Exponen'!C2</f>
        <v>11106.405400000001</v>
      </c>
      <c r="D2" s="7">
        <f>($R$1*'Single Exponen'!D2)-'Double Exponen'!D2</f>
        <v>12927.931420000003</v>
      </c>
      <c r="E2" s="7">
        <f>($R$1*'Single Exponen'!E2)-'Double Exponen'!E2</f>
        <v>12598.621282000002</v>
      </c>
      <c r="F2" s="7">
        <f>($R$1*'Single Exponen'!F2)-'Double Exponen'!F2</f>
        <v>11935.894657400002</v>
      </c>
      <c r="G2" s="7">
        <f>($R$1*'Single Exponen'!G2)-'Double Exponen'!G2</f>
        <v>11197.726744900003</v>
      </c>
      <c r="H2" s="7">
        <f>($R$1*'Single Exponen'!H2)-'Double Exponen'!H2</f>
        <v>12484.894668326004</v>
      </c>
      <c r="I2" s="7">
        <f>($R$1*'Single Exponen'!I2)-'Double Exponen'!I2</f>
        <v>12213.368939617805</v>
      </c>
      <c r="J2" s="7">
        <f>($R$1*'Single Exponen'!J2)-'Double Exponen'!J2</f>
        <v>11952.271509967983</v>
      </c>
      <c r="K2" s="7">
        <f>($R$1*'Single Exponen'!K2)-'Double Exponen'!K2</f>
        <v>11258.34547685195</v>
      </c>
      <c r="L2" s="7">
        <f>($R$1*'Single Exponen'!L2)-'Double Exponen'!L2</f>
        <v>12519.031235259445</v>
      </c>
      <c r="M2" s="7">
        <f>($R$1*'Single Exponen'!M2)-'Double Exponen'!M2</f>
        <v>12410.02948721692</v>
      </c>
    </row>
    <row r="3" spans="1:18" x14ac:dyDescent="0.3">
      <c r="A3" s="7" t="str">
        <f>'Double Exponen'!A3</f>
        <v>Oil A 200 LT</v>
      </c>
      <c r="B3" s="7">
        <f>($R$1*'Single Exponen'!B3)-'Double Exponen'!B3</f>
        <v>459915.78</v>
      </c>
      <c r="C3" s="7">
        <f>($R$1*'Single Exponen'!C3)-'Double Exponen'!C3</f>
        <v>448003.72620000003</v>
      </c>
      <c r="D3" s="7">
        <f>($R$1*'Single Exponen'!D3)-'Double Exponen'!D3</f>
        <v>436330.59475999995</v>
      </c>
      <c r="E3" s="7">
        <f>($R$1*'Single Exponen'!E3)-'Double Exponen'!E3</f>
        <v>448570.814946</v>
      </c>
      <c r="F3" s="7">
        <f>($R$1*'Single Exponen'!F3)-'Double Exponen'!F3</f>
        <v>401142.06734720001</v>
      </c>
      <c r="G3" s="7">
        <f>($R$1*'Single Exponen'!G3)-'Double Exponen'!G3</f>
        <v>394390.67871870002</v>
      </c>
      <c r="H3" s="7">
        <f>($R$1*'Single Exponen'!H3)-'Double Exponen'!H3</f>
        <v>404950.17234242801</v>
      </c>
      <c r="I3" s="7">
        <f>($R$1*'Single Exponen'!I3)-'Double Exponen'!I3</f>
        <v>423281.26145422348</v>
      </c>
      <c r="J3" s="7">
        <f>($R$1*'Single Exponen'!J3)-'Double Exponen'!J3</f>
        <v>439264.01422023552</v>
      </c>
      <c r="K3" s="7">
        <f>($R$1*'Single Exponen'!K3)-'Double Exponen'!K3</f>
        <v>455334.22521850298</v>
      </c>
      <c r="L3" s="7">
        <f>($R$1*'Single Exponen'!L3)-'Double Exponen'!L3</f>
        <v>460502.80347491457</v>
      </c>
      <c r="M3" s="7">
        <f>($R$1*'Single Exponen'!M3)-'Double Exponen'!M3</f>
        <v>454977.37262785877</v>
      </c>
    </row>
    <row r="4" spans="1:18" x14ac:dyDescent="0.3">
      <c r="A4" s="7" t="str">
        <f>'Double Exponen'!A4</f>
        <v>Oil A 1000 LT</v>
      </c>
      <c r="B4" s="7">
        <f>($R$1*'Single Exponen'!B4)-'Double Exponen'!B4</f>
        <v>23458.3</v>
      </c>
      <c r="C4" s="7">
        <f>($R$1*'Single Exponen'!C4)-'Double Exponen'!C4</f>
        <v>27022.377</v>
      </c>
      <c r="D4" s="7">
        <f>($R$1*'Single Exponen'!D4)-'Double Exponen'!D4</f>
        <v>27502.928599999996</v>
      </c>
      <c r="E4" s="7">
        <f>($R$1*'Single Exponen'!E4)-'Double Exponen'!E4</f>
        <v>29923.415109999998</v>
      </c>
      <c r="F4" s="7">
        <f>($R$1*'Single Exponen'!F4)-'Double Exponen'!F4</f>
        <v>29030.637031999995</v>
      </c>
      <c r="G4" s="7">
        <f>($R$1*'Single Exponen'!G4)-'Double Exponen'!G4</f>
        <v>34593.3034185</v>
      </c>
      <c r="H4" s="7">
        <f>($R$1*'Single Exponen'!H4)-'Double Exponen'!H4</f>
        <v>44364.061157380005</v>
      </c>
      <c r="I4" s="7">
        <f>($R$1*'Single Exponen'!I4)-'Double Exponen'!I4</f>
        <v>47032.236314299007</v>
      </c>
      <c r="J4" s="7">
        <f>($R$1*'Single Exponen'!J4)-'Double Exponen'!J4</f>
        <v>41133.814828260402</v>
      </c>
      <c r="K4" s="7">
        <f>($R$1*'Single Exponen'!K4)-'Double Exponen'!K4</f>
        <v>38517.995276286536</v>
      </c>
      <c r="L4" s="7">
        <f>($R$1*'Single Exponen'!L4)-'Double Exponen'!L4</f>
        <v>36758.815486424835</v>
      </c>
      <c r="M4" s="7">
        <f>($R$1*'Single Exponen'!M4)-'Double Exponen'!M4</f>
        <v>36563.39670177261</v>
      </c>
    </row>
    <row r="5" spans="1:18" x14ac:dyDescent="0.3">
      <c r="A5" s="7" t="str">
        <f>'Double Exponen'!A5</f>
        <v>Oil B 20 LT</v>
      </c>
      <c r="B5" s="7">
        <f>($R$1*'Single Exponen'!B5)-'Double Exponen'!B5</f>
        <v>4698.6499999999996</v>
      </c>
      <c r="C5" s="7">
        <f>($R$1*'Single Exponen'!C5)-'Double Exponen'!C5</f>
        <v>5448.4565000000002</v>
      </c>
      <c r="D5" s="7">
        <f>($R$1*'Single Exponen'!D5)-'Double Exponen'!D5</f>
        <v>5963.2107000000005</v>
      </c>
      <c r="E5" s="7">
        <f>($R$1*'Single Exponen'!E5)-'Double Exponen'!E5</f>
        <v>6125.7048949999999</v>
      </c>
      <c r="F5" s="7">
        <f>($R$1*'Single Exponen'!F5)-'Double Exponen'!F5</f>
        <v>13700.771343999997</v>
      </c>
      <c r="G5" s="7">
        <f>($R$1*'Single Exponen'!G5)-'Double Exponen'!G5</f>
        <v>12793.173254249999</v>
      </c>
      <c r="H5" s="7">
        <f>($R$1*'Single Exponen'!H5)-'Double Exponen'!H5</f>
        <v>12319.60836901</v>
      </c>
      <c r="I5" s="7">
        <f>($R$1*'Single Exponen'!I5)-'Double Exponen'!I5</f>
        <v>13526.696928275502</v>
      </c>
      <c r="J5" s="7">
        <f>($R$1*'Single Exponen'!J5)-'Double Exponen'!J5</f>
        <v>14550.231691997804</v>
      </c>
      <c r="K5" s="7">
        <f>($R$1*'Single Exponen'!K5)-'Double Exponen'!K5</f>
        <v>18812.000533692884</v>
      </c>
      <c r="L5" s="7">
        <f>($R$1*'Single Exponen'!L5)-'Double Exponen'!L5</f>
        <v>16989.063290128975</v>
      </c>
      <c r="M5" s="7">
        <f>($R$1*'Single Exponen'!M5)-'Double Exponen'!M5</f>
        <v>15761.074089940919</v>
      </c>
    </row>
    <row r="6" spans="1:18" x14ac:dyDescent="0.3">
      <c r="A6" s="7" t="str">
        <f>'Double Exponen'!A6</f>
        <v>Oil B 200 LT</v>
      </c>
      <c r="B6" s="7">
        <f>($R$1*'Single Exponen'!B6)-'Double Exponen'!B6</f>
        <v>1033.08</v>
      </c>
      <c r="C6" s="7">
        <f>($R$1*'Single Exponen'!C6)-'Double Exponen'!C6</f>
        <v>5677.6034</v>
      </c>
      <c r="D6" s="7">
        <f>($R$1*'Single Exponen'!D6)-'Double Exponen'!D6</f>
        <v>8501.2959200000005</v>
      </c>
      <c r="E6" s="7">
        <f>($R$1*'Single Exponen'!E6)-'Double Exponen'!E6</f>
        <v>10776.631302000002</v>
      </c>
      <c r="F6" s="7">
        <f>($R$1*'Single Exponen'!F6)-'Double Exponen'!F6</f>
        <v>14219.628648400001</v>
      </c>
      <c r="G6" s="7">
        <f>($R$1*'Single Exponen'!G6)-'Double Exponen'!G6</f>
        <v>15351.9473125</v>
      </c>
      <c r="H6" s="7">
        <f>($R$1*'Single Exponen'!H6)-'Double Exponen'!H6</f>
        <v>23109.379357296002</v>
      </c>
      <c r="I6" s="7">
        <f>($R$1*'Single Exponen'!I6)-'Double Exponen'!I6</f>
        <v>25632.241720007805</v>
      </c>
      <c r="J6" s="7">
        <f>($R$1*'Single Exponen'!J6)-'Double Exponen'!J6</f>
        <v>27083.583016604283</v>
      </c>
      <c r="K6" s="7">
        <f>($R$1*'Single Exponen'!K6)-'Double Exponen'!K6</f>
        <v>32559.099036681393</v>
      </c>
      <c r="L6" s="7">
        <f>($R$1*'Single Exponen'!L6)-'Double Exponen'!L6</f>
        <v>37003.066422577038</v>
      </c>
      <c r="M6" s="7">
        <f>($R$1*'Single Exponen'!M6)-'Double Exponen'!M6</f>
        <v>39356.180740926735</v>
      </c>
    </row>
    <row r="7" spans="1:18" x14ac:dyDescent="0.3">
      <c r="A7" s="6">
        <f>'Double Exponen'!A7</f>
        <v>0.2</v>
      </c>
      <c r="B7" s="6" t="str">
        <f>B1</f>
        <v>T1</v>
      </c>
      <c r="C7" s="6" t="str">
        <f t="shared" ref="C7:M7" si="0">C1</f>
        <v>T2</v>
      </c>
      <c r="D7" s="6" t="str">
        <f t="shared" si="0"/>
        <v>T3</v>
      </c>
      <c r="E7" s="6" t="str">
        <f t="shared" si="0"/>
        <v>T4</v>
      </c>
      <c r="F7" s="6" t="str">
        <f t="shared" si="0"/>
        <v>T5</v>
      </c>
      <c r="G7" s="6" t="str">
        <f t="shared" si="0"/>
        <v>T6</v>
      </c>
      <c r="H7" s="6" t="str">
        <f t="shared" si="0"/>
        <v>T7</v>
      </c>
      <c r="I7" s="6" t="str">
        <f t="shared" si="0"/>
        <v>T8</v>
      </c>
      <c r="J7" s="6" t="str">
        <f t="shared" si="0"/>
        <v>T9</v>
      </c>
      <c r="K7" s="6" t="str">
        <f t="shared" si="0"/>
        <v>T10</v>
      </c>
      <c r="L7" s="6" t="str">
        <f t="shared" si="0"/>
        <v>T11</v>
      </c>
      <c r="M7" s="6" t="str">
        <f t="shared" si="0"/>
        <v>T12</v>
      </c>
    </row>
    <row r="8" spans="1:18" x14ac:dyDescent="0.3">
      <c r="A8" s="6" t="str">
        <f>'Double Exponen'!A8</f>
        <v>Oil A 20 LT</v>
      </c>
      <c r="B8" s="6">
        <f>($R$1*'Single Exponen'!B8)-'Double Exponen'!B8</f>
        <v>12588.09</v>
      </c>
      <c r="C8" s="6">
        <f>($R$1*'Single Exponen'!C8)-'Double Exponen'!C8</f>
        <v>9780.6876000000029</v>
      </c>
      <c r="D8" s="6">
        <f>($R$1*'Single Exponen'!D8)-'Double Exponen'!D8</f>
        <v>13629.304960000001</v>
      </c>
      <c r="E8" s="6">
        <f>($R$1*'Single Exponen'!E8)-'Double Exponen'!E8</f>
        <v>12815.328272000002</v>
      </c>
      <c r="F8" s="6">
        <f>($R$1*'Single Exponen'!F8)-'Double Exponen'!F8</f>
        <v>11503.897260800002</v>
      </c>
      <c r="G8" s="6">
        <f>($R$1*'Single Exponen'!G8)-'Double Exponen'!G8</f>
        <v>10240.543923200001</v>
      </c>
      <c r="H8" s="6">
        <f>($R$1*'Single Exponen'!H8)-'Double Exponen'!H8</f>
        <v>12978.604830208</v>
      </c>
      <c r="I8" s="6">
        <f>($R$1*'Single Exponen'!I8)-'Double Exponen'!I8</f>
        <v>12342.976417484799</v>
      </c>
      <c r="J8" s="6">
        <f>($R$1*'Single Exponen'!J8)-'Double Exponen'!J8</f>
        <v>11828.395576642559</v>
      </c>
      <c r="K8" s="6">
        <f>($R$1*'Single Exponen'!K8)-'Double Exponen'!K8</f>
        <v>10567.554415437822</v>
      </c>
      <c r="L8" s="6">
        <f>($R$1*'Single Exponen'!L8)-'Double Exponen'!L8</f>
        <v>13181.867095649277</v>
      </c>
      <c r="M8" s="6">
        <f>($R$1*'Single Exponen'!M8)-'Double Exponen'!M8</f>
        <v>12805.708927158639</v>
      </c>
    </row>
    <row r="9" spans="1:18" x14ac:dyDescent="0.3">
      <c r="A9" s="6" t="str">
        <f>'Double Exponen'!A9</f>
        <v>Oil A 200 LT</v>
      </c>
      <c r="B9" s="6">
        <f>($R$1*'Single Exponen'!B9)-'Double Exponen'!B9</f>
        <v>459915.78</v>
      </c>
      <c r="C9" s="6">
        <f>($R$1*'Single Exponen'!C9)-'Double Exponen'!C9</f>
        <v>437345.57280000008</v>
      </c>
      <c r="D9" s="6">
        <f>($R$1*'Single Exponen'!D9)-'Double Exponen'!D9</f>
        <v>418422.20688000001</v>
      </c>
      <c r="E9" s="6">
        <f>($R$1*'Single Exponen'!E9)-'Double Exponen'!E9</f>
        <v>447143.36681600002</v>
      </c>
      <c r="F9" s="6">
        <f>($R$1*'Single Exponen'!F9)-'Double Exponen'!F9</f>
        <v>358138.51130240009</v>
      </c>
      <c r="G9" s="6">
        <f>($R$1*'Single Exponen'!G9)-'Double Exponen'!G9</f>
        <v>358682.24572160002</v>
      </c>
      <c r="H9" s="6">
        <f>($R$1*'Single Exponen'!H9)-'Double Exponen'!H9</f>
        <v>390488.29472102399</v>
      </c>
      <c r="I9" s="6">
        <f>($R$1*'Single Exponen'!I9)-'Double Exponen'!I9</f>
        <v>431181.36629181443</v>
      </c>
      <c r="J9" s="6">
        <f>($R$1*'Single Exponen'!J9)-'Double Exponen'!J9</f>
        <v>460923.47424544761</v>
      </c>
      <c r="K9" s="6">
        <f>($R$1*'Single Exponen'!K9)-'Double Exponen'!K9</f>
        <v>486567.46596595499</v>
      </c>
      <c r="L9" s="6">
        <f>($R$1*'Single Exponen'!L9)-'Double Exponen'!L9</f>
        <v>488341.72042844148</v>
      </c>
      <c r="M9" s="6">
        <f>($R$1*'Single Exponen'!M9)-'Double Exponen'!M9</f>
        <v>470387.49766729522</v>
      </c>
    </row>
    <row r="10" spans="1:18" x14ac:dyDescent="0.3">
      <c r="A10" s="6" t="str">
        <f>'Double Exponen'!A10</f>
        <v>Oil A 1000 LT</v>
      </c>
      <c r="B10" s="6">
        <f>($R$1*'Single Exponen'!B10)-'Double Exponen'!B10</f>
        <v>23458.3</v>
      </c>
      <c r="C10" s="6">
        <f>($R$1*'Single Exponen'!C10)-'Double Exponen'!C10</f>
        <v>30211.288</v>
      </c>
      <c r="D10" s="6">
        <f>($R$1*'Single Exponen'!D10)-'Double Exponen'!D10</f>
        <v>30166.120800000004</v>
      </c>
      <c r="E10" s="6">
        <f>($R$1*'Single Exponen'!E10)-'Double Exponen'!E10</f>
        <v>33905.644960000005</v>
      </c>
      <c r="F10" s="6">
        <f>($R$1*'Single Exponen'!F10)-'Double Exponen'!F10</f>
        <v>30932.282624000007</v>
      </c>
      <c r="G10" s="6">
        <f>($R$1*'Single Exponen'!G10)-'Double Exponen'!G10</f>
        <v>40754.411424000005</v>
      </c>
      <c r="H10" s="6">
        <f>($R$1*'Single Exponen'!H10)-'Double Exponen'!H10</f>
        <v>57246.201399040001</v>
      </c>
      <c r="I10" s="6">
        <f>($R$1*'Single Exponen'!I10)-'Double Exponen'!I10</f>
        <v>58174.506927103997</v>
      </c>
      <c r="J10" s="6">
        <f>($R$1*'Single Exponen'!J10)-'Double Exponen'!J10</f>
        <v>43199.8381879808</v>
      </c>
      <c r="K10" s="6">
        <f>($R$1*'Single Exponen'!K10)-'Double Exponen'!K10</f>
        <v>37000.816667422725</v>
      </c>
      <c r="L10" s="6">
        <f>($R$1*'Single Exponen'!L10)-'Double Exponen'!L10</f>
        <v>33474.426227568649</v>
      </c>
      <c r="M10" s="6">
        <f>($R$1*'Single Exponen'!M10)-'Double Exponen'!M10</f>
        <v>33470.139296959293</v>
      </c>
    </row>
    <row r="11" spans="1:18" x14ac:dyDescent="0.3">
      <c r="A11" s="6" t="str">
        <f>'Double Exponen'!A11</f>
        <v>Oil B 20 LT</v>
      </c>
      <c r="B11" s="6">
        <f>($R$1*'Single Exponen'!B11)-'Double Exponen'!B11</f>
        <v>4698.6499999999996</v>
      </c>
      <c r="C11" s="6">
        <f>($R$1*'Single Exponen'!C11)-'Double Exponen'!C11</f>
        <v>6119.3360000000002</v>
      </c>
      <c r="D11" s="6">
        <f>($R$1*'Single Exponen'!D11)-'Double Exponen'!D11</f>
        <v>6893.6036000000013</v>
      </c>
      <c r="E11" s="6">
        <f>($R$1*'Single Exponen'!E11)-'Double Exponen'!E11</f>
        <v>6912.4483200000013</v>
      </c>
      <c r="F11" s="6">
        <f>($R$1*'Single Exponen'!F11)-'Double Exponen'!F11</f>
        <v>21005.207808000003</v>
      </c>
      <c r="G11" s="6">
        <f>($R$1*'Single Exponen'!G11)-'Double Exponen'!G11</f>
        <v>17060.620768000001</v>
      </c>
      <c r="H11" s="6">
        <f>($R$1*'Single Exponen'!H11)-'Double Exponen'!H11</f>
        <v>14737.869431679999</v>
      </c>
      <c r="I11" s="6">
        <f>($R$1*'Single Exponen'!I11)-'Double Exponen'!I11</f>
        <v>16090.766599168001</v>
      </c>
      <c r="J11" s="6">
        <f>($R$1*'Single Exponen'!J11)-'Double Exponen'!J11</f>
        <v>17018.030122393604</v>
      </c>
      <c r="K11" s="6">
        <f>($R$1*'Single Exponen'!K11)-'Double Exponen'!K11</f>
        <v>24073.509572362243</v>
      </c>
      <c r="L11" s="6">
        <f>($R$1*'Single Exponen'!L11)-'Double Exponen'!L11</f>
        <v>18728.196037447684</v>
      </c>
      <c r="M11" s="6">
        <f>($R$1*'Single Exponen'!M11)-'Double Exponen'!M11</f>
        <v>15488.733933604459</v>
      </c>
    </row>
    <row r="12" spans="1:18" x14ac:dyDescent="0.3">
      <c r="A12" s="6" t="str">
        <f>'Double Exponen'!A12</f>
        <v>Oil B 200 LT</v>
      </c>
      <c r="B12" s="6">
        <f>($R$1*'Single Exponen'!B12)-'Double Exponen'!B12</f>
        <v>1033.08</v>
      </c>
      <c r="C12" s="6">
        <f>($R$1*'Single Exponen'!C12)-'Double Exponen'!C12</f>
        <v>9833.2295999999988</v>
      </c>
      <c r="D12" s="6">
        <f>($R$1*'Single Exponen'!D12)-'Double Exponen'!D12</f>
        <v>13937.982560000002</v>
      </c>
      <c r="E12" s="6">
        <f>($R$1*'Single Exponen'!E12)-'Double Exponen'!E12</f>
        <v>16556.582752000002</v>
      </c>
      <c r="F12" s="6">
        <f>($R$1*'Single Exponen'!F12)-'Double Exponen'!F12</f>
        <v>21202.911564800001</v>
      </c>
      <c r="G12" s="6">
        <f>($R$1*'Single Exponen'!G12)-'Double Exponen'!G12</f>
        <v>21024.517942399998</v>
      </c>
      <c r="H12" s="6">
        <f>($R$1*'Single Exponen'!H12)-'Double Exponen'!H12</f>
        <v>33688.478906368007</v>
      </c>
      <c r="I12" s="6">
        <f>($R$1*'Single Exponen'!I12)-'Double Exponen'!I12</f>
        <v>34881.611567052809</v>
      </c>
      <c r="J12" s="6">
        <f>($R$1*'Single Exponen'!J12)-'Double Exponen'!J12</f>
        <v>34286.71680720897</v>
      </c>
      <c r="K12" s="6">
        <f>($R$1*'Single Exponen'!K12)-'Double Exponen'!K12</f>
        <v>41795.393088620556</v>
      </c>
      <c r="L12" s="6">
        <f>($R$1*'Single Exponen'!L12)-'Double Exponen'!L12</f>
        <v>46638.04378517915</v>
      </c>
      <c r="M12" s="6">
        <f>($R$1*'Single Exponen'!M12)-'Double Exponen'!M12</f>
        <v>47266.928079569472</v>
      </c>
    </row>
    <row r="13" spans="1:18" x14ac:dyDescent="0.3">
      <c r="A13" s="6">
        <f>'Double Exponen'!A13</f>
        <v>0.3</v>
      </c>
      <c r="B13" s="6" t="str">
        <f>'Double Exponen'!B13</f>
        <v>T1</v>
      </c>
      <c r="C13" s="6" t="str">
        <f>'Double Exponen'!C13</f>
        <v>T2</v>
      </c>
      <c r="D13" s="6" t="str">
        <f>'Double Exponen'!D13</f>
        <v>T3</v>
      </c>
      <c r="E13" s="6" t="str">
        <f>'Double Exponen'!E13</f>
        <v>T4</v>
      </c>
      <c r="F13" s="6" t="str">
        <f>'Double Exponen'!F13</f>
        <v>T5</v>
      </c>
      <c r="G13" s="6" t="str">
        <f>'Double Exponen'!G13</f>
        <v>T6</v>
      </c>
      <c r="H13" s="6" t="str">
        <f>'Double Exponen'!H13</f>
        <v>T7</v>
      </c>
      <c r="I13" s="6" t="str">
        <f>'Double Exponen'!I13</f>
        <v>T8</v>
      </c>
      <c r="J13" s="6" t="str">
        <f>'Double Exponen'!J13</f>
        <v>T9</v>
      </c>
      <c r="K13" s="6" t="str">
        <f>'Double Exponen'!K13</f>
        <v>T10</v>
      </c>
      <c r="L13" s="6" t="str">
        <f>'Double Exponen'!L13</f>
        <v>T11</v>
      </c>
      <c r="M13" s="6" t="str">
        <f>'Double Exponen'!M13</f>
        <v>T12</v>
      </c>
    </row>
    <row r="14" spans="1:18" x14ac:dyDescent="0.3">
      <c r="A14" s="6" t="str">
        <f>'Double Exponen'!A14</f>
        <v>Oil A 20 LT</v>
      </c>
      <c r="B14" s="6">
        <f>($R$1*'Single Exponen'!B14)-'Double Exponen'!B14</f>
        <v>12588.09</v>
      </c>
      <c r="C14" s="6">
        <f>($R$1*'Single Exponen'!C14)-'Double Exponen'!C14</f>
        <v>8610.9366000000009</v>
      </c>
      <c r="D14" s="6">
        <f>($R$1*'Single Exponen'!D14)-'Double Exponen'!D14</f>
        <v>14598.630540000002</v>
      </c>
      <c r="E14" s="6">
        <f>($R$1*'Single Exponen'!E14)-'Double Exponen'!E14</f>
        <v>13049.365722</v>
      </c>
      <c r="F14" s="6">
        <f>($R$1*'Single Exponen'!F14)-'Double Exponen'!F14</f>
        <v>11092.162246200001</v>
      </c>
      <c r="G14" s="6">
        <f>($R$1*'Single Exponen'!G14)-'Double Exponen'!G14</f>
        <v>9489.1943409000014</v>
      </c>
      <c r="H14" s="6">
        <f>($R$1*'Single Exponen'!H14)-'Double Exponen'!H14</f>
        <v>13727.215376622002</v>
      </c>
      <c r="I14" s="6">
        <f>($R$1*'Single Exponen'!I14)-'Double Exponen'!I14</f>
        <v>12529.715100229801</v>
      </c>
      <c r="J14" s="6">
        <f>($R$1*'Single Exponen'!J14)-'Double Exponen'!J14</f>
        <v>11730.17050577694</v>
      </c>
      <c r="K14" s="6">
        <f>($R$1*'Single Exponen'!K14)-'Double Exponen'!K14</f>
        <v>9996.3007089751136</v>
      </c>
      <c r="L14" s="6">
        <f>($R$1*'Single Exponen'!L14)-'Double Exponen'!L14</f>
        <v>13972.849144734459</v>
      </c>
      <c r="M14" s="6">
        <f>($R$1*'Single Exponen'!M14)-'Double Exponen'!M14</f>
        <v>13112.571355230437</v>
      </c>
    </row>
    <row r="15" spans="1:18" x14ac:dyDescent="0.3">
      <c r="A15" s="6" t="str">
        <f>'Double Exponen'!A15</f>
        <v>Oil A 200 LT</v>
      </c>
      <c r="B15" s="6">
        <f>($R$1*'Single Exponen'!B15)-'Double Exponen'!B15</f>
        <v>459915.78</v>
      </c>
      <c r="C15" s="6">
        <f>($R$1*'Single Exponen'!C15)-'Double Exponen'!C15</f>
        <v>427941.3198</v>
      </c>
      <c r="D15" s="6">
        <f>($R$1*'Single Exponen'!D15)-'Double Exponen'!D15</f>
        <v>405438.27611999999</v>
      </c>
      <c r="E15" s="6">
        <f>($R$1*'Single Exponen'!E15)-'Double Exponen'!E15</f>
        <v>452453.05926600005</v>
      </c>
      <c r="F15" s="6">
        <f>($R$1*'Single Exponen'!F15)-'Double Exponen'!F15</f>
        <v>324840.3914736</v>
      </c>
      <c r="G15" s="6">
        <f>($R$1*'Single Exponen'!G15)-'Double Exponen'!G15</f>
        <v>341539.74342269998</v>
      </c>
      <c r="H15" s="6">
        <f>($R$1*'Single Exponen'!H15)-'Double Exponen'!H15</f>
        <v>396483.81976971612</v>
      </c>
      <c r="I15" s="6">
        <f>($R$1*'Single Exponen'!I15)-'Double Exponen'!I15</f>
        <v>454110.86640047957</v>
      </c>
      <c r="J15" s="6">
        <f>($R$1*'Single Exponen'!J15)-'Double Exponen'!J15</f>
        <v>488213.38207351055</v>
      </c>
      <c r="K15" s="6">
        <f>($R$1*'Single Exponen'!K15)-'Double Exponen'!K15</f>
        <v>513571.89096667967</v>
      </c>
      <c r="L15" s="6">
        <f>($R$1*'Single Exponen'!L15)-'Double Exponen'!L15</f>
        <v>504135.33653733146</v>
      </c>
      <c r="M15" s="6">
        <f>($R$1*'Single Exponen'!M15)-'Double Exponen'!M15</f>
        <v>470791.86777859094</v>
      </c>
    </row>
    <row r="16" spans="1:18" x14ac:dyDescent="0.3">
      <c r="A16" s="6" t="str">
        <f>'Double Exponen'!A16</f>
        <v>Oil A 1000 LT</v>
      </c>
      <c r="B16" s="6">
        <f>($R$1*'Single Exponen'!B16)-'Double Exponen'!B16</f>
        <v>23458.3</v>
      </c>
      <c r="C16" s="6">
        <f>($R$1*'Single Exponen'!C16)-'Double Exponen'!C16</f>
        <v>33025.033000000003</v>
      </c>
      <c r="D16" s="6">
        <f>($R$1*'Single Exponen'!D16)-'Double Exponen'!D16</f>
        <v>31672.976200000005</v>
      </c>
      <c r="E16" s="6">
        <f>($R$1*'Single Exponen'!E16)-'Double Exponen'!E16</f>
        <v>36166.321510000009</v>
      </c>
      <c r="F16" s="6">
        <f>($R$1*'Single Exponen'!F16)-'Double Exponen'!F16</f>
        <v>30744.209776000003</v>
      </c>
      <c r="G16" s="6">
        <f>($R$1*'Single Exponen'!G16)-'Double Exponen'!G16</f>
        <v>44479.143146500006</v>
      </c>
      <c r="H16" s="6">
        <f>($R$1*'Single Exponen'!H16)-'Double Exponen'!H16</f>
        <v>65880.756614860002</v>
      </c>
      <c r="I16" s="6">
        <f>($R$1*'Single Exponen'!I16)-'Double Exponen'!I16</f>
        <v>62835.997119018997</v>
      </c>
      <c r="J16" s="6">
        <f>($R$1*'Single Exponen'!J16)-'Double Exponen'!J16</f>
        <v>38731.376225345193</v>
      </c>
      <c r="K16" s="6">
        <f>($R$1*'Single Exponen'!K16)-'Double Exponen'!K16</f>
        <v>31052.848127163968</v>
      </c>
      <c r="L16" s="6">
        <f>($R$1*'Single Exponen'!L16)-'Double Exponen'!L16</f>
        <v>28024.219027610408</v>
      </c>
      <c r="M16" s="6">
        <f>($R$1*'Single Exponen'!M16)-'Double Exponen'!M16</f>
        <v>30001.436056344231</v>
      </c>
    </row>
    <row r="17" spans="1:13" x14ac:dyDescent="0.3">
      <c r="A17" s="6" t="str">
        <f>'Double Exponen'!A17</f>
        <v>Oil B 20 LT</v>
      </c>
      <c r="B17" s="6">
        <f>($R$1*'Single Exponen'!B17)-'Double Exponen'!B17</f>
        <v>4698.6499999999996</v>
      </c>
      <c r="C17" s="6">
        <f>($R$1*'Single Exponen'!C17)-'Double Exponen'!C17</f>
        <v>6711.2885000000015</v>
      </c>
      <c r="D17" s="6">
        <f>($R$1*'Single Exponen'!D17)-'Double Exponen'!D17</f>
        <v>7537.1849000000002</v>
      </c>
      <c r="E17" s="6">
        <f>($R$1*'Single Exponen'!E17)-'Double Exponen'!E17</f>
        <v>7245.1740950000003</v>
      </c>
      <c r="F17" s="6">
        <f>($R$1*'Single Exponen'!F17)-'Double Exponen'!F17</f>
        <v>27007.503932000007</v>
      </c>
      <c r="G17" s="6">
        <f>($R$1*'Single Exponen'!G17)-'Double Exponen'!G17</f>
        <v>18608.318398250005</v>
      </c>
      <c r="H17" s="6">
        <f>($R$1*'Single Exponen'!H17)-'Double Exponen'!H17</f>
        <v>14302.032530870001</v>
      </c>
      <c r="I17" s="6">
        <f>($R$1*'Single Exponen'!I17)-'Double Exponen'!I17</f>
        <v>16050.071328075503</v>
      </c>
      <c r="J17" s="6">
        <f>($R$1*'Single Exponen'!J17)-'Double Exponen'!J17</f>
        <v>17034.043919179399</v>
      </c>
      <c r="K17" s="6">
        <f>($R$1*'Single Exponen'!K17)-'Double Exponen'!K17</f>
        <v>26676.75853609417</v>
      </c>
      <c r="L17" s="6">
        <f>($R$1*'Single Exponen'!L17)-'Double Exponen'!L17</f>
        <v>17567.690430133927</v>
      </c>
      <c r="M17" s="6">
        <f>($R$1*'Single Exponen'!M17)-'Double Exponen'!M17</f>
        <v>13059.712319501356</v>
      </c>
    </row>
    <row r="18" spans="1:13" x14ac:dyDescent="0.3">
      <c r="A18" s="6" t="str">
        <f>'Double Exponen'!A18</f>
        <v>Oil B 200 LT</v>
      </c>
      <c r="B18" s="6">
        <f>($R$1*'Single Exponen'!B18)-'Double Exponen'!B18</f>
        <v>1033.08</v>
      </c>
      <c r="C18" s="6">
        <f>($R$1*'Single Exponen'!C18)-'Double Exponen'!C18</f>
        <v>13499.958600000002</v>
      </c>
      <c r="D18" s="6">
        <f>($R$1*'Single Exponen'!D18)-'Double Exponen'!D18</f>
        <v>17636.47824</v>
      </c>
      <c r="E18" s="6">
        <f>($R$1*'Single Exponen'!E18)-'Double Exponen'!E18</f>
        <v>19503.850422000003</v>
      </c>
      <c r="F18" s="6">
        <f>($R$1*'Single Exponen'!F18)-'Double Exponen'!F18</f>
        <v>24438.354253200003</v>
      </c>
      <c r="G18" s="6">
        <f>($R$1*'Single Exponen'!G18)-'Double Exponen'!G18</f>
        <v>22287.965147700004</v>
      </c>
      <c r="H18" s="6">
        <f>($R$1*'Single Exponen'!H18)-'Double Exponen'!H18</f>
        <v>39104.37822271201</v>
      </c>
      <c r="I18" s="6">
        <f>($R$1*'Single Exponen'!I18)-'Double Exponen'!I18</f>
        <v>37720.928389423803</v>
      </c>
      <c r="J18" s="6">
        <f>($R$1*'Single Exponen'!J18)-'Double Exponen'!J18</f>
        <v>34766.013216064443</v>
      </c>
      <c r="K18" s="6">
        <f>($R$1*'Single Exponen'!K18)-'Double Exponen'!K18</f>
        <v>44259.50019167256</v>
      </c>
      <c r="L18" s="6">
        <f>($R$1*'Single Exponen'!L18)-'Double Exponen'!L18</f>
        <v>49051.523392470015</v>
      </c>
      <c r="M18" s="6">
        <f>($R$1*'Single Exponen'!M18)-'Double Exponen'!M18</f>
        <v>47799.712255538463</v>
      </c>
    </row>
    <row r="19" spans="1:13" x14ac:dyDescent="0.3">
      <c r="A19" s="6">
        <f>'Double Exponen'!A19</f>
        <v>0.4</v>
      </c>
      <c r="B19" s="6" t="str">
        <f>'Double Exponen'!B19</f>
        <v>T1</v>
      </c>
      <c r="C19" s="6" t="str">
        <f>'Double Exponen'!C19</f>
        <v>T2</v>
      </c>
      <c r="D19" s="6" t="str">
        <f>'Double Exponen'!D19</f>
        <v>T3</v>
      </c>
      <c r="E19" s="6" t="str">
        <f>'Double Exponen'!E19</f>
        <v>T4</v>
      </c>
      <c r="F19" s="6" t="str">
        <f>'Double Exponen'!F19</f>
        <v>T5</v>
      </c>
      <c r="G19" s="6" t="str">
        <f>'Double Exponen'!G19</f>
        <v>T6</v>
      </c>
      <c r="H19" s="6" t="str">
        <f>'Double Exponen'!H19</f>
        <v>T7</v>
      </c>
      <c r="I19" s="6" t="str">
        <f>'Double Exponen'!I19</f>
        <v>T8</v>
      </c>
      <c r="J19" s="6" t="str">
        <f>'Double Exponen'!J19</f>
        <v>T9</v>
      </c>
      <c r="K19" s="6" t="str">
        <f>'Double Exponen'!K19</f>
        <v>T10</v>
      </c>
      <c r="L19" s="6" t="str">
        <f>'Double Exponen'!L19</f>
        <v>T11</v>
      </c>
      <c r="M19" s="6" t="str">
        <f>'Double Exponen'!M19</f>
        <v>T12</v>
      </c>
    </row>
    <row r="20" spans="1:13" x14ac:dyDescent="0.3">
      <c r="A20" s="6" t="str">
        <f>'Double Exponen'!A20</f>
        <v>Oil A 20 LT</v>
      </c>
      <c r="B20" s="6">
        <f>($R$1*'Single Exponen'!B20)-'Double Exponen'!B20</f>
        <v>12588.09</v>
      </c>
      <c r="C20" s="6">
        <f>($R$1*'Single Exponen'!C20)-'Double Exponen'!C20</f>
        <v>7597.152399999999</v>
      </c>
      <c r="D20" s="6">
        <f>($R$1*'Single Exponen'!D20)-'Double Exponen'!D20</f>
        <v>15742.328080000003</v>
      </c>
      <c r="E20" s="6">
        <f>($R$1*'Single Exponen'!E20)-'Double Exponen'!E20</f>
        <v>13168.036432000001</v>
      </c>
      <c r="F20" s="6">
        <f>($R$1*'Single Exponen'!F20)-'Double Exponen'!F20</f>
        <v>10627.1624096</v>
      </c>
      <c r="G20" s="6">
        <f>($R$1*'Single Exponen'!G20)-'Double Exponen'!G20</f>
        <v>8884.8153760000005</v>
      </c>
      <c r="H20" s="6">
        <f>($R$1*'Single Exponen'!H20)-'Double Exponen'!H20</f>
        <v>14596.883183744001</v>
      </c>
      <c r="I20" s="6">
        <f>($R$1*'Single Exponen'!I20)-'Double Exponen'!I20</f>
        <v>12618.929485132798</v>
      </c>
      <c r="J20" s="6">
        <f>($R$1*'Single Exponen'!J20)-'Double Exponen'!J20</f>
        <v>11555.703036011517</v>
      </c>
      <c r="K20" s="6">
        <f>($R$1*'Single Exponen'!K20)-'Double Exponen'!K20</f>
        <v>9477.1026285660155</v>
      </c>
      <c r="L20" s="6">
        <f>($R$1*'Single Exponen'!L20)-'Double Exponen'!L20</f>
        <v>14793.394861315073</v>
      </c>
      <c r="M20" s="6">
        <f>($R$1*'Single Exponen'!M20)-'Double Exponen'!M20</f>
        <v>13247.790487294322</v>
      </c>
    </row>
    <row r="21" spans="1:13" x14ac:dyDescent="0.3">
      <c r="A21" s="6" t="str">
        <f>'Double Exponen'!A21</f>
        <v>Oil A 200 LT</v>
      </c>
      <c r="B21" s="6">
        <f>($R$1*'Single Exponen'!B21)-'Double Exponen'!B21</f>
        <v>459915.78</v>
      </c>
      <c r="C21" s="6">
        <f>($R$1*'Single Exponen'!C21)-'Double Exponen'!C21</f>
        <v>419790.96719999996</v>
      </c>
      <c r="D21" s="6">
        <f>($R$1*'Single Exponen'!D21)-'Double Exponen'!D21</f>
        <v>396626.46224000002</v>
      </c>
      <c r="E21" s="6">
        <f>($R$1*'Single Exponen'!E21)-'Double Exponen'!E21</f>
        <v>461770.92009599996</v>
      </c>
      <c r="F21" s="6">
        <f>($R$1*'Single Exponen'!F21)-'Double Exponen'!F21</f>
        <v>297196.54090879997</v>
      </c>
      <c r="G21" s="6">
        <f>($R$1*'Single Exponen'!G21)-'Double Exponen'!G21</f>
        <v>335974.07145599998</v>
      </c>
      <c r="H21" s="6">
        <f>($R$1*'Single Exponen'!H21)-'Double Exponen'!H21</f>
        <v>411234.02222003206</v>
      </c>
      <c r="I21" s="6">
        <f>($R$1*'Single Exponen'!I21)-'Double Exponen'!I21</f>
        <v>477651.34493987844</v>
      </c>
      <c r="J21" s="6">
        <f>($R$1*'Single Exponen'!J21)-'Double Exponen'!J21</f>
        <v>507873.08112864266</v>
      </c>
      <c r="K21" s="6">
        <f>($R$1*'Single Exponen'!K21)-'Double Exponen'!K21</f>
        <v>527634.53157601482</v>
      </c>
      <c r="L21" s="6">
        <f>($R$1*'Single Exponen'!L21)-'Double Exponen'!L21</f>
        <v>505635.52228490647</v>
      </c>
      <c r="M21" s="6">
        <f>($R$1*'Single Exponen'!M21)-'Double Exponen'!M21</f>
        <v>460333.34417452232</v>
      </c>
    </row>
    <row r="22" spans="1:13" x14ac:dyDescent="0.3">
      <c r="A22" s="6" t="str">
        <f>'Double Exponen'!A22</f>
        <v>Oil A 1000 LT</v>
      </c>
      <c r="B22" s="6">
        <f>($R$1*'Single Exponen'!B22)-'Double Exponen'!B22</f>
        <v>23458.3</v>
      </c>
      <c r="C22" s="6">
        <f>($R$1*'Single Exponen'!C22)-'Double Exponen'!C22</f>
        <v>35463.611999999994</v>
      </c>
      <c r="D22" s="6">
        <f>($R$1*'Single Exponen'!D22)-'Double Exponen'!D22</f>
        <v>32248.594400000002</v>
      </c>
      <c r="E22" s="6">
        <f>($R$1*'Single Exponen'!E22)-'Double Exponen'!E22</f>
        <v>37331.716960000005</v>
      </c>
      <c r="F22" s="6">
        <f>($R$1*'Single Exponen'!F22)-'Double Exponen'!F22</f>
        <v>29559.078367999999</v>
      </c>
      <c r="G22" s="6">
        <f>($R$1*'Single Exponen'!G22)-'Double Exponen'!G22</f>
        <v>47196.723935999995</v>
      </c>
      <c r="H22" s="6">
        <f>($R$1*'Single Exponen'!H22)-'Double Exponen'!H22</f>
        <v>72122.17651071999</v>
      </c>
      <c r="I22" s="6">
        <f>($R$1*'Single Exponen'!I22)-'Double Exponen'!I22</f>
        <v>63956.223195903993</v>
      </c>
      <c r="J22" s="6">
        <f>($R$1*'Single Exponen'!J22)-'Double Exponen'!J22</f>
        <v>32047.228291225598</v>
      </c>
      <c r="K22" s="6">
        <f>($R$1*'Single Exponen'!K22)-'Double Exponen'!K22</f>
        <v>25523.073598945281</v>
      </c>
      <c r="L22" s="6">
        <f>($R$1*'Single Exponen'!L22)-'Double Exponen'!L22</f>
        <v>24658.270133893122</v>
      </c>
      <c r="M22" s="6">
        <f>($R$1*'Single Exponen'!M22)-'Double Exponen'!M22</f>
        <v>29174.257665051446</v>
      </c>
    </row>
    <row r="23" spans="1:13" x14ac:dyDescent="0.3">
      <c r="A23" s="6" t="str">
        <f>'Double Exponen'!A23</f>
        <v>Oil B 20 LT</v>
      </c>
      <c r="B23" s="6">
        <f>($R$1*'Single Exponen'!B23)-'Double Exponen'!B23</f>
        <v>4698.6499999999996</v>
      </c>
      <c r="C23" s="6">
        <f>($R$1*'Single Exponen'!C23)-'Double Exponen'!C23</f>
        <v>7224.3139999999994</v>
      </c>
      <c r="D23" s="6">
        <f>($R$1*'Single Exponen'!D23)-'Double Exponen'!D23</f>
        <v>7941.3107999999993</v>
      </c>
      <c r="E23" s="6">
        <f>($R$1*'Single Exponen'!E23)-'Double Exponen'!E23</f>
        <v>7281.7623199999998</v>
      </c>
      <c r="F23" s="6">
        <f>($R$1*'Single Exponen'!F23)-'Double Exponen'!F23</f>
        <v>31984.798095999999</v>
      </c>
      <c r="G23" s="6">
        <f>($R$1*'Single Exponen'!G23)-'Double Exponen'!G23</f>
        <v>18269.00808</v>
      </c>
      <c r="H23" s="6">
        <f>($R$1*'Single Exponen'!H23)-'Double Exponen'!H23</f>
        <v>12597.36718144</v>
      </c>
      <c r="I23" s="6">
        <f>($R$1*'Single Exponen'!I23)-'Double Exponen'!I23</f>
        <v>15402.856908927999</v>
      </c>
      <c r="J23" s="6">
        <f>($R$1*'Single Exponen'!J23)-'Double Exponen'!J23</f>
        <v>16730.136105395199</v>
      </c>
      <c r="K23" s="6">
        <f>($R$1*'Single Exponen'!K23)-'Double Exponen'!K23</f>
        <v>28761.982839260159</v>
      </c>
      <c r="L23" s="6">
        <f>($R$1*'Single Exponen'!L23)-'Double Exponen'!L23</f>
        <v>15799.050409169919</v>
      </c>
      <c r="M23" s="6">
        <f>($R$1*'Single Exponen'!M23)-'Double Exponen'!M23</f>
        <v>10840.700268870245</v>
      </c>
    </row>
    <row r="24" spans="1:13" x14ac:dyDescent="0.3">
      <c r="A24" s="6" t="str">
        <f>'Double Exponen'!A24</f>
        <v>Oil B 200 LT</v>
      </c>
      <c r="B24" s="6">
        <f>($R$1*'Single Exponen'!B24)-'Double Exponen'!B24</f>
        <v>1033.08</v>
      </c>
      <c r="C24" s="6">
        <f>($R$1*'Single Exponen'!C24)-'Double Exponen'!C24</f>
        <v>16677.790399999998</v>
      </c>
      <c r="D24" s="6">
        <f>($R$1*'Single Exponen'!D24)-'Double Exponen'!D24</f>
        <v>19890.121279999999</v>
      </c>
      <c r="E24" s="6">
        <f>($R$1*'Single Exponen'!E24)-'Double Exponen'!E24</f>
        <v>20573.347392</v>
      </c>
      <c r="F24" s="6">
        <f>($R$1*'Single Exponen'!F24)-'Double Exponen'!F24</f>
        <v>25661.765209599995</v>
      </c>
      <c r="G24" s="6">
        <f>($R$1*'Single Exponen'!G24)-'Double Exponen'!G24</f>
        <v>21678.650790399995</v>
      </c>
      <c r="H24" s="6">
        <f>($R$1*'Single Exponen'!H24)-'Double Exponen'!H24</f>
        <v>42540.639873023996</v>
      </c>
      <c r="I24" s="6">
        <f>($R$1*'Single Exponen'!I24)-'Double Exponen'!I24</f>
        <v>38095.384763084796</v>
      </c>
      <c r="J24" s="6">
        <f>($R$1*'Single Exponen'!J24)-'Double Exponen'!J24</f>
        <v>33307.258561413124</v>
      </c>
      <c r="K24" s="6">
        <f>($R$1*'Single Exponen'!K24)-'Double Exponen'!K24</f>
        <v>45253.514158985228</v>
      </c>
      <c r="L24" s="6">
        <f>($R$1*'Single Exponen'!L24)-'Double Exponen'!L24</f>
        <v>49891.962308673552</v>
      </c>
      <c r="M24" s="6">
        <f>($R$1*'Single Exponen'!M24)-'Double Exponen'!M24</f>
        <v>46961.496073173577</v>
      </c>
    </row>
    <row r="25" spans="1:13" x14ac:dyDescent="0.3">
      <c r="A25" s="6">
        <f>'Double Exponen'!A25</f>
        <v>0.5</v>
      </c>
      <c r="B25" s="6" t="str">
        <f>'Double Exponen'!B25</f>
        <v>T1</v>
      </c>
      <c r="C25" s="6" t="str">
        <f>'Double Exponen'!C25</f>
        <v>T2</v>
      </c>
      <c r="D25" s="6" t="str">
        <f>'Double Exponen'!D25</f>
        <v>T3</v>
      </c>
      <c r="E25" s="6" t="str">
        <f>'Double Exponen'!E25</f>
        <v>T4</v>
      </c>
      <c r="F25" s="6" t="str">
        <f>'Double Exponen'!F25</f>
        <v>T5</v>
      </c>
      <c r="G25" s="6" t="str">
        <f>'Double Exponen'!G25</f>
        <v>T6</v>
      </c>
      <c r="H25" s="6" t="str">
        <f>'Double Exponen'!H25</f>
        <v>T7</v>
      </c>
      <c r="I25" s="6" t="str">
        <f>'Double Exponen'!I25</f>
        <v>T8</v>
      </c>
      <c r="J25" s="6" t="str">
        <f>'Double Exponen'!J25</f>
        <v>T9</v>
      </c>
      <c r="K25" s="6" t="str">
        <f>'Double Exponen'!K25</f>
        <v>T10</v>
      </c>
      <c r="L25" s="6" t="str">
        <f>'Double Exponen'!L25</f>
        <v>T11</v>
      </c>
      <c r="M25" s="6" t="str">
        <f>'Double Exponen'!M25</f>
        <v>T12</v>
      </c>
    </row>
    <row r="26" spans="1:13" x14ac:dyDescent="0.3">
      <c r="A26" s="6" t="str">
        <f>'Double Exponen'!A26</f>
        <v>Oil A 20 LT</v>
      </c>
      <c r="B26" s="6">
        <f>($R$1*'Single Exponen'!B26)-'Double Exponen'!B26</f>
        <v>12588.09</v>
      </c>
      <c r="C26" s="6">
        <f>($R$1*'Single Exponen'!C26)-'Double Exponen'!C26</f>
        <v>6739.3349999999991</v>
      </c>
      <c r="D26" s="6">
        <f>($R$1*'Single Exponen'!D26)-'Double Exponen'!D26</f>
        <v>16966.817500000001</v>
      </c>
      <c r="E26" s="6">
        <f>($R$1*'Single Exponen'!E26)-'Double Exponen'!E26</f>
        <v>13094.791249999998</v>
      </c>
      <c r="F26" s="6">
        <f>($R$1*'Single Exponen'!F26)-'Double Exponen'!F26</f>
        <v>10124.346874999999</v>
      </c>
      <c r="G26" s="6">
        <f>($R$1*'Single Exponen'!G26)-'Double Exponen'!G26</f>
        <v>8441.8390624999993</v>
      </c>
      <c r="H26" s="6">
        <f>($R$1*'Single Exponen'!H26)-'Double Exponen'!H26</f>
        <v>15517.122343749999</v>
      </c>
      <c r="I26" s="6">
        <f>($R$1*'Single Exponen'!I26)-'Double Exponen'!I26</f>
        <v>12557.472578125</v>
      </c>
      <c r="J26" s="6">
        <f>($R$1*'Single Exponen'!J26)-'Double Exponen'!J26</f>
        <v>11323.0144921875</v>
      </c>
      <c r="K26" s="6">
        <f>($R$1*'Single Exponen'!K26)-'Double Exponen'!K26</f>
        <v>9043.626347656249</v>
      </c>
      <c r="L26" s="6">
        <f>($R$1*'Single Exponen'!L26)-'Double Exponen'!L26</f>
        <v>15622.165224609376</v>
      </c>
      <c r="M26" s="6">
        <f>($R$1*'Single Exponen'!M26)-'Double Exponen'!M26</f>
        <v>13215.326137695312</v>
      </c>
    </row>
    <row r="27" spans="1:13" x14ac:dyDescent="0.3">
      <c r="A27" s="6" t="str">
        <f>'Double Exponen'!A27</f>
        <v>Oil A 200 LT</v>
      </c>
      <c r="B27" s="6">
        <f>($R$1*'Single Exponen'!B27)-'Double Exponen'!B27</f>
        <v>459915.78</v>
      </c>
      <c r="C27" s="6">
        <f>($R$1*'Single Exponen'!C27)-'Double Exponen'!C27</f>
        <v>412894.51500000001</v>
      </c>
      <c r="D27" s="6">
        <f>($R$1*'Single Exponen'!D27)-'Double Exponen'!D27</f>
        <v>391234.42499999999</v>
      </c>
      <c r="E27" s="6">
        <f>($R$1*'Single Exponen'!E27)-'Double Exponen'!E27</f>
        <v>472819.38124999998</v>
      </c>
      <c r="F27" s="6">
        <f>($R$1*'Single Exponen'!F27)-'Double Exponen'!F27</f>
        <v>272868.41000000003</v>
      </c>
      <c r="G27" s="6">
        <f>($R$1*'Single Exponen'!G27)-'Double Exponen'!G27</f>
        <v>337827.62468750001</v>
      </c>
      <c r="H27" s="6">
        <f>($R$1*'Single Exponen'!H27)-'Double Exponen'!H27</f>
        <v>428083.63218750001</v>
      </c>
      <c r="I27" s="6">
        <f>($R$1*'Single Exponen'!I27)-'Double Exponen'!I27</f>
        <v>495783.03101562499</v>
      </c>
      <c r="J27" s="6">
        <f>($R$1*'Single Exponen'!J27)-'Double Exponen'!J27</f>
        <v>517709.34296875005</v>
      </c>
      <c r="K27" s="6">
        <f>($R$1*'Single Exponen'!K27)-'Double Exponen'!K27</f>
        <v>531471.08021484374</v>
      </c>
      <c r="L27" s="6">
        <f>($R$1*'Single Exponen'!L27)-'Double Exponen'!L27</f>
        <v>499715.98447265622</v>
      </c>
      <c r="M27" s="6">
        <f>($R$1*'Single Exponen'!M27)-'Double Exponen'!M27</f>
        <v>447891.71441894531</v>
      </c>
    </row>
    <row r="28" spans="1:13" x14ac:dyDescent="0.3">
      <c r="A28" s="6" t="str">
        <f>'Double Exponen'!A28</f>
        <v>Oil A 1000 LT</v>
      </c>
      <c r="B28" s="6">
        <f>($R$1*'Single Exponen'!B28)-'Double Exponen'!B28</f>
        <v>23458.3</v>
      </c>
      <c r="C28" s="6">
        <f>($R$1*'Single Exponen'!C28)-'Double Exponen'!C28</f>
        <v>37527.024999999994</v>
      </c>
      <c r="D28" s="6">
        <f>($R$1*'Single Exponen'!D28)-'Double Exponen'!D28</f>
        <v>32118.074999999997</v>
      </c>
      <c r="E28" s="6">
        <f>($R$1*'Single Exponen'!E28)-'Double Exponen'!E28</f>
        <v>37893.043749999997</v>
      </c>
      <c r="F28" s="6">
        <f>($R$1*'Single Exponen'!F28)-'Double Exponen'!F28</f>
        <v>28071.274999999998</v>
      </c>
      <c r="G28" s="6">
        <f>($R$1*'Single Exponen'!G28)-'Double Exponen'!G28</f>
        <v>49579.889062499999</v>
      </c>
      <c r="H28" s="6">
        <f>($R$1*'Single Exponen'!H28)-'Double Exponen'!H28</f>
        <v>76756.145312499997</v>
      </c>
      <c r="I28" s="6">
        <f>($R$1*'Single Exponen'!I28)-'Double Exponen'!I28</f>
        <v>63032.723046874991</v>
      </c>
      <c r="J28" s="6">
        <f>($R$1*'Single Exponen'!J28)-'Double Exponen'!J28</f>
        <v>25265.461718749997</v>
      </c>
      <c r="K28" s="6">
        <f>($R$1*'Single Exponen'!K28)-'Double Exponen'!K28</f>
        <v>22036.280957031253</v>
      </c>
      <c r="L28" s="6">
        <f>($R$1*'Single Exponen'!L28)-'Double Exponen'!L28</f>
        <v>23757.865527343751</v>
      </c>
      <c r="M28" s="6">
        <f>($R$1*'Single Exponen'!M28)-'Double Exponen'!M28</f>
        <v>30208.020288085936</v>
      </c>
    </row>
    <row r="29" spans="1:13" x14ac:dyDescent="0.3">
      <c r="A29" s="6" t="str">
        <f>'Double Exponen'!A29</f>
        <v>Oil B 20 LT</v>
      </c>
      <c r="B29" s="6">
        <f>($R$1*'Single Exponen'!B29)-'Double Exponen'!B29</f>
        <v>4698.6499999999996</v>
      </c>
      <c r="C29" s="6">
        <f>($R$1*'Single Exponen'!C29)-'Double Exponen'!C29</f>
        <v>7658.4125000000004</v>
      </c>
      <c r="D29" s="6">
        <f>($R$1*'Single Exponen'!D29)-'Double Exponen'!D29</f>
        <v>8153.3374999999996</v>
      </c>
      <c r="E29" s="6">
        <f>($R$1*'Single Exponen'!E29)-'Double Exponen'!E29</f>
        <v>7151.6793749999997</v>
      </c>
      <c r="F29" s="6">
        <f>($R$1*'Single Exponen'!F29)-'Double Exponen'!F29</f>
        <v>36114.764999999999</v>
      </c>
      <c r="G29" s="6">
        <f>($R$1*'Single Exponen'!G29)-'Double Exponen'!G29</f>
        <v>16685.310156249994</v>
      </c>
      <c r="H29" s="6">
        <f>($R$1*'Single Exponen'!H29)-'Double Exponen'!H29</f>
        <v>10655.891406249997</v>
      </c>
      <c r="I29" s="6">
        <f>($R$1*'Single Exponen'!I29)-'Double Exponen'!I29</f>
        <v>15066.208867187499</v>
      </c>
      <c r="J29" s="6">
        <f>($R$1*'Single Exponen'!J29)-'Double Exponen'!J29</f>
        <v>16736.736015625</v>
      </c>
      <c r="K29" s="6">
        <f>($R$1*'Single Exponen'!K29)-'Double Exponen'!K29</f>
        <v>30724.58379882812</v>
      </c>
      <c r="L29" s="6">
        <f>($R$1*'Single Exponen'!L29)-'Double Exponen'!L29</f>
        <v>13864.349794921873</v>
      </c>
      <c r="M29" s="6">
        <f>($R$1*'Single Exponen'!M29)-'Double Exponen'!M29</f>
        <v>9212.6588452148426</v>
      </c>
    </row>
    <row r="30" spans="1:13" x14ac:dyDescent="0.3">
      <c r="A30" s="6" t="str">
        <f>'Double Exponen'!A30</f>
        <v>Oil B 200 LT</v>
      </c>
      <c r="B30" s="6">
        <f>($R$1*'Single Exponen'!B30)-'Double Exponen'!B30</f>
        <v>1033.08</v>
      </c>
      <c r="C30" s="6">
        <f>($R$1*'Single Exponen'!C30)-'Double Exponen'!C30</f>
        <v>19366.724999999999</v>
      </c>
      <c r="D30" s="6">
        <f>($R$1*'Single Exponen'!D30)-'Double Exponen'!D30</f>
        <v>20992.25</v>
      </c>
      <c r="E30" s="6">
        <f>($R$1*'Single Exponen'!E30)-'Double Exponen'!E30</f>
        <v>20543.983749999999</v>
      </c>
      <c r="F30" s="6">
        <f>($R$1*'Single Exponen'!F30)-'Double Exponen'!F30</f>
        <v>26006.671249999996</v>
      </c>
      <c r="G30" s="6">
        <f>($R$1*'Single Exponen'!G30)-'Double Exponen'!G30</f>
        <v>20546.092812499999</v>
      </c>
      <c r="H30" s="6">
        <f>($R$1*'Single Exponen'!H30)-'Double Exponen'!H30</f>
        <v>45328.959999999992</v>
      </c>
      <c r="I30" s="6">
        <f>($R$1*'Single Exponen'!I30)-'Double Exponen'!I30</f>
        <v>37493.261796874998</v>
      </c>
      <c r="J30" s="6">
        <f>($R$1*'Single Exponen'!J30)-'Double Exponen'!J30</f>
        <v>31566.491796875001</v>
      </c>
      <c r="K30" s="6">
        <f>($R$1*'Single Exponen'!K30)-'Double Exponen'!K30</f>
        <v>46240.471347656261</v>
      </c>
      <c r="L30" s="6">
        <f>($R$1*'Single Exponen'!L30)-'Double Exponen'!L30</f>
        <v>50422.128398437497</v>
      </c>
      <c r="M30" s="6">
        <f>($R$1*'Single Exponen'!M30)-'Double Exponen'!M30</f>
        <v>45960.135561523435</v>
      </c>
    </row>
    <row r="31" spans="1:13" x14ac:dyDescent="0.3">
      <c r="A31" s="6">
        <f>'Double Exponen'!A31</f>
        <v>0.6</v>
      </c>
      <c r="B31" s="6" t="str">
        <f>'Double Exponen'!B31</f>
        <v>T1</v>
      </c>
      <c r="C31" s="6" t="str">
        <f>'Double Exponen'!C31</f>
        <v>T2</v>
      </c>
      <c r="D31" s="6" t="str">
        <f>'Double Exponen'!D31</f>
        <v>T3</v>
      </c>
      <c r="E31" s="6" t="str">
        <f>'Double Exponen'!E31</f>
        <v>T4</v>
      </c>
      <c r="F31" s="6" t="str">
        <f>'Double Exponen'!F31</f>
        <v>T5</v>
      </c>
      <c r="G31" s="6" t="str">
        <f>'Double Exponen'!G31</f>
        <v>T6</v>
      </c>
      <c r="H31" s="6" t="str">
        <f>'Double Exponen'!H31</f>
        <v>T7</v>
      </c>
      <c r="I31" s="6" t="str">
        <f>'Double Exponen'!I31</f>
        <v>T8</v>
      </c>
      <c r="J31" s="6" t="str">
        <f>'Double Exponen'!J31</f>
        <v>T9</v>
      </c>
      <c r="K31" s="6" t="str">
        <f>'Double Exponen'!K31</f>
        <v>T10</v>
      </c>
      <c r="L31" s="6" t="str">
        <f>'Double Exponen'!L31</f>
        <v>T11</v>
      </c>
      <c r="M31" s="6" t="str">
        <f>'Double Exponen'!M31</f>
        <v>T12</v>
      </c>
    </row>
    <row r="32" spans="1:13" x14ac:dyDescent="0.3">
      <c r="A32" s="6" t="str">
        <f>'Double Exponen'!A32</f>
        <v>Oil A 20 LT</v>
      </c>
      <c r="B32" s="6">
        <f>($R$1*'Single Exponen'!B32)-'Double Exponen'!B32</f>
        <v>12588.09</v>
      </c>
      <c r="C32" s="6">
        <f>($R$1*'Single Exponen'!C32)-'Double Exponen'!C32</f>
        <v>3697.9824000000008</v>
      </c>
      <c r="D32" s="6">
        <f>($R$1*'Single Exponen'!D32)-'Double Exponen'!D32</f>
        <v>19072.192319999998</v>
      </c>
      <c r="E32" s="6">
        <f>($R$1*'Single Exponen'!E32)-'Double Exponen'!E32</f>
        <v>13409.774951999996</v>
      </c>
      <c r="F32" s="6">
        <f>($R$1*'Single Exponen'!F32)-'Double Exponen'!F32</f>
        <v>8946.7230023999982</v>
      </c>
      <c r="G32" s="6">
        <f>($R$1*'Single Exponen'!G32)-'Double Exponen'!G32</f>
        <v>6311.2185203999961</v>
      </c>
      <c r="H32" s="6">
        <f>($R$1*'Single Exponen'!H32)-'Double Exponen'!H32</f>
        <v>16966.130995655996</v>
      </c>
      <c r="I32" s="6">
        <f>($R$1*'Single Exponen'!I32)-'Double Exponen'!I32</f>
        <v>12648.234827008797</v>
      </c>
      <c r="J32" s="6">
        <f>($R$1*'Single Exponen'!J32)-'Double Exponen'!J32</f>
        <v>10820.730716675273</v>
      </c>
      <c r="K32" s="6">
        <f>($R$1*'Single Exponen'!K32)-'Double Exponen'!K32</f>
        <v>7336.0989939546907</v>
      </c>
      <c r="L32" s="6">
        <f>($R$1*'Single Exponen'!L32)-'Double Exponen'!L32</f>
        <v>17253.561434137999</v>
      </c>
      <c r="M32" s="6">
        <f>($R$1*'Single Exponen'!M32)-'Double Exponen'!M32</f>
        <v>13758.832826555708</v>
      </c>
    </row>
    <row r="33" spans="1:13" x14ac:dyDescent="0.3">
      <c r="A33" s="6" t="str">
        <f>'Double Exponen'!A33</f>
        <v>Oil A 200 LT</v>
      </c>
      <c r="B33" s="6">
        <f>($R$1*'Single Exponen'!B33)-'Double Exponen'!B33</f>
        <v>459915.78</v>
      </c>
      <c r="C33" s="6">
        <f>($R$1*'Single Exponen'!C33)-'Double Exponen'!C33</f>
        <v>388443.4572</v>
      </c>
      <c r="D33" s="6">
        <f>($R$1*'Single Exponen'!D33)-'Double Exponen'!D33</f>
        <v>354140.82996</v>
      </c>
      <c r="E33" s="6">
        <f>($R$1*'Single Exponen'!E33)-'Double Exponen'!E33</f>
        <v>476896.00995599991</v>
      </c>
      <c r="F33" s="6">
        <f>($R$1*'Single Exponen'!F33)-'Double Exponen'!F33</f>
        <v>175328.40735719993</v>
      </c>
      <c r="G33" s="6">
        <f>($R$1*'Single Exponen'!G33)-'Double Exponen'!G33</f>
        <v>270308.27158019994</v>
      </c>
      <c r="H33" s="6">
        <f>($R$1*'Single Exponen'!H33)-'Double Exponen'!H33</f>
        <v>408114.67760566797</v>
      </c>
      <c r="I33" s="6">
        <f>($R$1*'Single Exponen'!I33)-'Double Exponen'!I33</f>
        <v>516202.50911849632</v>
      </c>
      <c r="J33" s="6">
        <f>($R$1*'Single Exponen'!J33)-'Double Exponen'!J33</f>
        <v>556346.27711600484</v>
      </c>
      <c r="K33" s="6">
        <f>($R$1*'Single Exponen'!K33)-'Double Exponen'!K33</f>
        <v>582518.18536814733</v>
      </c>
      <c r="L33" s="6">
        <f>($R$1*'Single Exponen'!L33)-'Double Exponen'!L33</f>
        <v>537219.2788168299</v>
      </c>
      <c r="M33" s="6">
        <f>($R$1*'Single Exponen'!M33)-'Double Exponen'!M33</f>
        <v>458036.8085293459</v>
      </c>
    </row>
    <row r="34" spans="1:13" x14ac:dyDescent="0.3">
      <c r="A34" s="6" t="str">
        <f>'Double Exponen'!A34</f>
        <v>Oil A 1000 LT</v>
      </c>
      <c r="B34" s="6">
        <f>($R$1*'Single Exponen'!B34)-'Double Exponen'!B34</f>
        <v>23458.3</v>
      </c>
      <c r="C34" s="6">
        <f>($R$1*'Single Exponen'!C34)-'Double Exponen'!C34</f>
        <v>44842.762000000002</v>
      </c>
      <c r="D34" s="6">
        <f>($R$1*'Single Exponen'!D34)-'Double Exponen'!D34</f>
        <v>37033.840599999996</v>
      </c>
      <c r="E34" s="6">
        <f>($R$1*'Single Exponen'!E34)-'Double Exponen'!E34</f>
        <v>45838.212459999995</v>
      </c>
      <c r="F34" s="6">
        <f>($R$1*'Single Exponen'!F34)-'Double Exponen'!F34</f>
        <v>30932.665581999998</v>
      </c>
      <c r="G34" s="6">
        <f>($R$1*'Single Exponen'!G34)-'Double Exponen'!G34</f>
        <v>63167.446771000003</v>
      </c>
      <c r="H34" s="6">
        <f>($R$1*'Single Exponen'!H34)-'Double Exponen'!H34</f>
        <v>104647.50719277999</v>
      </c>
      <c r="I34" s="6">
        <f>($R$1*'Single Exponen'!I34)-'Double Exponen'!I34</f>
        <v>84486.490513053999</v>
      </c>
      <c r="J34" s="6">
        <f>($R$1*'Single Exponen'!J34)-'Double Exponen'!J34</f>
        <v>26623.409077569399</v>
      </c>
      <c r="K34" s="6">
        <f>($R$1*'Single Exponen'!K34)-'Double Exponen'!K34</f>
        <v>19634.735216140776</v>
      </c>
      <c r="L34" s="6">
        <f>($R$1*'Single Exponen'!L34)-'Double Exponen'!L34</f>
        <v>20409.612513058033</v>
      </c>
      <c r="M34" s="6">
        <f>($R$1*'Single Exponen'!M34)-'Double Exponen'!M34</f>
        <v>29046.621589164752</v>
      </c>
    </row>
    <row r="35" spans="1:13" x14ac:dyDescent="0.3">
      <c r="A35" s="6" t="str">
        <f>'Double Exponen'!A35</f>
        <v>Oil B 20 LT</v>
      </c>
      <c r="B35" s="6">
        <f>($R$1*'Single Exponen'!B35)-'Double Exponen'!B35</f>
        <v>4698.6499999999996</v>
      </c>
      <c r="C35" s="6">
        <f>($R$1*'Single Exponen'!C35)-'Double Exponen'!C35</f>
        <v>9197.4889999999996</v>
      </c>
      <c r="D35" s="6">
        <f>($R$1*'Single Exponen'!D35)-'Double Exponen'!D35</f>
        <v>10036.594700000001</v>
      </c>
      <c r="E35" s="6">
        <f>($R$1*'Single Exponen'!E35)-'Double Exponen'!E35</f>
        <v>8567.5294700000013</v>
      </c>
      <c r="F35" s="6">
        <f>($R$1*'Single Exponen'!F35)-'Double Exponen'!F35</f>
        <v>52552.833418999995</v>
      </c>
      <c r="G35" s="6">
        <f>($R$1*'Single Exponen'!G35)-'Double Exponen'!G35</f>
        <v>23796.007635499998</v>
      </c>
      <c r="H35" s="6">
        <f>($R$1*'Single Exponen'!H35)-'Double Exponen'!H35</f>
        <v>14352.91769531</v>
      </c>
      <c r="I35" s="6">
        <f>($R$1*'Single Exponen'!I35)-'Double Exponen'!I35</f>
        <v>20375.463455122997</v>
      </c>
      <c r="J35" s="6">
        <f>($R$1*'Single Exponen'!J35)-'Double Exponen'!J35</f>
        <v>22407.412121348298</v>
      </c>
      <c r="K35" s="6">
        <f>($R$1*'Single Exponen'!K35)-'Double Exponen'!K35</f>
        <v>43263.716913908502</v>
      </c>
      <c r="L35" s="6">
        <f>($R$1*'Single Exponen'!L35)-'Double Exponen'!L35</f>
        <v>17655.063624395669</v>
      </c>
      <c r="M35" s="6">
        <f>($R$1*'Single Exponen'!M35)-'Double Exponen'!M35</f>
        <v>9887.5282227073076</v>
      </c>
    </row>
    <row r="36" spans="1:13" x14ac:dyDescent="0.3">
      <c r="A36" s="6" t="str">
        <f>'Double Exponen'!A36</f>
        <v>Oil B 200 LT</v>
      </c>
      <c r="B36" s="6">
        <f>($R$1*'Single Exponen'!B36)-'Double Exponen'!B36</f>
        <v>1033.08</v>
      </c>
      <c r="C36" s="6">
        <f>($R$1*'Single Exponen'!C36)-'Double Exponen'!C36</f>
        <v>28900.220399999998</v>
      </c>
      <c r="D36" s="6">
        <f>($R$1*'Single Exponen'!D36)-'Double Exponen'!D36</f>
        <v>31908.805319999999</v>
      </c>
      <c r="E36" s="6">
        <f>($R$1*'Single Exponen'!E36)-'Double Exponen'!E36</f>
        <v>31516.311972</v>
      </c>
      <c r="F36" s="6">
        <f>($R$1*'Single Exponen'!F36)-'Double Exponen'!F36</f>
        <v>39730.487648399998</v>
      </c>
      <c r="G36" s="6">
        <f>($R$1*'Single Exponen'!G36)-'Double Exponen'!G36</f>
        <v>31217.884232999997</v>
      </c>
      <c r="H36" s="6">
        <f>($R$1*'Single Exponen'!H36)-'Double Exponen'!H36</f>
        <v>68242.914349475992</v>
      </c>
      <c r="I36" s="6">
        <f>($R$1*'Single Exponen'!I36)-'Double Exponen'!I36</f>
        <v>56299.967530438793</v>
      </c>
      <c r="J36" s="6">
        <f>($R$1*'Single Exponen'!J36)-'Double Exponen'!J36</f>
        <v>46607.379823759082</v>
      </c>
      <c r="K36" s="6">
        <f>($R$1*'Single Exponen'!K36)-'Double Exponen'!K36</f>
        <v>67746.197859928841</v>
      </c>
      <c r="L36" s="6">
        <f>($R$1*'Single Exponen'!L36)-'Double Exponen'!L36</f>
        <v>73297.742881354206</v>
      </c>
      <c r="M36" s="6">
        <f>($R$1*'Single Exponen'!M36)-'Double Exponen'!M36</f>
        <v>65639.622916186083</v>
      </c>
    </row>
    <row r="37" spans="1:13" x14ac:dyDescent="0.3">
      <c r="A37" s="6">
        <f>'Double Exponen'!A37</f>
        <v>0.7</v>
      </c>
      <c r="B37" s="6" t="str">
        <f>'Double Exponen'!B37</f>
        <v>T1</v>
      </c>
      <c r="C37" s="6" t="str">
        <f>'Double Exponen'!C37</f>
        <v>T2</v>
      </c>
      <c r="D37" s="6" t="str">
        <f>'Double Exponen'!D37</f>
        <v>T3</v>
      </c>
      <c r="E37" s="6" t="str">
        <f>'Double Exponen'!E37</f>
        <v>T4</v>
      </c>
      <c r="F37" s="6" t="str">
        <f>'Double Exponen'!F37</f>
        <v>T5</v>
      </c>
      <c r="G37" s="6" t="str">
        <f>'Double Exponen'!G37</f>
        <v>T6</v>
      </c>
      <c r="H37" s="6" t="str">
        <f>'Double Exponen'!H37</f>
        <v>T7</v>
      </c>
      <c r="I37" s="6" t="str">
        <f>'Double Exponen'!I37</f>
        <v>T8</v>
      </c>
      <c r="J37" s="6" t="str">
        <f>'Double Exponen'!J37</f>
        <v>T9</v>
      </c>
      <c r="K37" s="6" t="str">
        <f>'Double Exponen'!K37</f>
        <v>T10</v>
      </c>
      <c r="L37" s="6" t="str">
        <f>'Double Exponen'!L37</f>
        <v>T11</v>
      </c>
      <c r="M37" s="6" t="str">
        <f>'Double Exponen'!M37</f>
        <v>T12</v>
      </c>
    </row>
    <row r="38" spans="1:13" x14ac:dyDescent="0.3">
      <c r="A38" s="6" t="str">
        <f>'Double Exponen'!A38</f>
        <v>Oil A 20 LT</v>
      </c>
      <c r="B38" s="6">
        <f>($R$1*'Single Exponen'!B38)-'Double Exponen'!B38</f>
        <v>12588.09</v>
      </c>
      <c r="C38" s="6">
        <f>($R$1*'Single Exponen'!C38)-'Double Exponen'!C38</f>
        <v>2216.2978000000003</v>
      </c>
      <c r="D38" s="6">
        <f>($R$1*'Single Exponen'!D38)-'Double Exponen'!D38</f>
        <v>21190.055260000001</v>
      </c>
      <c r="E38" s="6">
        <f>($R$1*'Single Exponen'!E38)-'Double Exponen'!E38</f>
        <v>13101.397605999997</v>
      </c>
      <c r="F38" s="6">
        <f>($R$1*'Single Exponen'!F38)-'Double Exponen'!F38</f>
        <v>8110.3678069999951</v>
      </c>
      <c r="G38" s="6">
        <f>($R$1*'Single Exponen'!G38)-'Double Exponen'!G38</f>
        <v>5621.0612147799948</v>
      </c>
      <c r="H38" s="6">
        <f>($R$1*'Single Exponen'!H38)-'Double Exponen'!H38</f>
        <v>18534.902549845996</v>
      </c>
      <c r="I38" s="6">
        <f>($R$1*'Single Exponen'!I38)-'Double Exponen'!I38</f>
        <v>12399.216931824596</v>
      </c>
      <c r="J38" s="6">
        <f>($R$1*'Single Exponen'!J38)-'Double Exponen'!J38</f>
        <v>10441.441329731097</v>
      </c>
      <c r="K38" s="6">
        <f>($R$1*'Single Exponen'!K38)-'Double Exponen'!K38</f>
        <v>6641.5402240846743</v>
      </c>
      <c r="L38" s="6">
        <f>($R$1*'Single Exponen'!L38)-'Double Exponen'!L38</f>
        <v>18698.104209874211</v>
      </c>
      <c r="M38" s="6">
        <f>($R$1*'Single Exponen'!M38)-'Double Exponen'!M38</f>
        <v>13609.740891346191</v>
      </c>
    </row>
    <row r="39" spans="1:13" x14ac:dyDescent="0.3">
      <c r="A39" s="6" t="str">
        <f>'Double Exponen'!A39</f>
        <v>Oil A 200 LT</v>
      </c>
      <c r="B39" s="6">
        <f>($R$1*'Single Exponen'!B39)-'Double Exponen'!B39</f>
        <v>459915.78</v>
      </c>
      <c r="C39" s="6">
        <f>($R$1*'Single Exponen'!C39)-'Double Exponen'!C39</f>
        <v>376531.40340000007</v>
      </c>
      <c r="D39" s="6">
        <f>($R$1*'Single Exponen'!D39)-'Double Exponen'!D39</f>
        <v>344850.10927999992</v>
      </c>
      <c r="E39" s="6">
        <f>($R$1*'Single Exponen'!E39)-'Double Exponen'!E39</f>
        <v>494567.99041799986</v>
      </c>
      <c r="F39" s="6">
        <f>($R$1*'Single Exponen'!F39)-'Double Exponen'!F39</f>
        <v>130368.73439599993</v>
      </c>
      <c r="G39" s="6">
        <f>($R$1*'Single Exponen'!G39)-'Double Exponen'!G39</f>
        <v>272650.34706233989</v>
      </c>
      <c r="H39" s="6">
        <f>($R$1*'Single Exponen'!H39)-'Double Exponen'!H39</f>
        <v>431785.03458788793</v>
      </c>
      <c r="I39" s="6">
        <f>($R$1*'Single Exponen'!I39)-'Double Exponen'!I39</f>
        <v>541318.25479863374</v>
      </c>
      <c r="J39" s="6">
        <f>($R$1*'Single Exponen'!J39)-'Double Exponen'!J39</f>
        <v>570571.62881963071</v>
      </c>
      <c r="K39" s="6">
        <f>($R$1*'Single Exponen'!K39)-'Double Exponen'!K39</f>
        <v>591147.77558792569</v>
      </c>
      <c r="L39" s="6">
        <f>($R$1*'Single Exponen'!L39)-'Double Exponen'!L39</f>
        <v>532258.33812421048</v>
      </c>
      <c r="M39" s="6">
        <f>($R$1*'Single Exponen'!M39)-'Double Exponen'!M39</f>
        <v>443351.44794031268</v>
      </c>
    </row>
    <row r="40" spans="1:13" x14ac:dyDescent="0.3">
      <c r="A40" s="6" t="str">
        <f>'Double Exponen'!A40</f>
        <v>Oil A 1000 LT</v>
      </c>
      <c r="B40" s="6">
        <f>($R$1*'Single Exponen'!B40)-'Double Exponen'!B40</f>
        <v>23458.3</v>
      </c>
      <c r="C40" s="6">
        <f>($R$1*'Single Exponen'!C40)-'Double Exponen'!C40</f>
        <v>48406.838999999985</v>
      </c>
      <c r="D40" s="6">
        <f>($R$1*'Single Exponen'!D40)-'Double Exponen'!D40</f>
        <v>36801.576799999995</v>
      </c>
      <c r="E40" s="6">
        <f>($R$1*'Single Exponen'!E40)-'Double Exponen'!E40</f>
        <v>47235.928629999995</v>
      </c>
      <c r="F40" s="6">
        <f>($R$1*'Single Exponen'!F40)-'Double Exponen'!F40</f>
        <v>28867.722620000008</v>
      </c>
      <c r="G40" s="6">
        <f>($R$1*'Single Exponen'!G40)-'Double Exponen'!G40</f>
        <v>67920.427413900004</v>
      </c>
      <c r="H40" s="6">
        <f>($R$1*'Single Exponen'!H40)-'Double Exponen'!H40</f>
        <v>112986.74478927998</v>
      </c>
      <c r="I40" s="6">
        <f>($R$1*'Single Exponen'!I40)-'Double Exponen'!I40</f>
        <v>83628.092345382989</v>
      </c>
      <c r="J40" s="6">
        <f>($R$1*'Single Exponen'!J40)-'Double Exponen'!J40</f>
        <v>16722.042721353995</v>
      </c>
      <c r="K40" s="6">
        <f>($R$1*'Single Exponen'!K40)-'Double Exponen'!K40</f>
        <v>15499.546332371392</v>
      </c>
      <c r="L40" s="6">
        <f>($R$1*'Single Exponen'!L40)-'Double Exponen'!L40</f>
        <v>19298.202064080077</v>
      </c>
      <c r="M40" s="6">
        <f>($R$1*'Single Exponen'!M40)-'Double Exponen'!M40</f>
        <v>30152.699967155815</v>
      </c>
    </row>
    <row r="41" spans="1:13" x14ac:dyDescent="0.3">
      <c r="A41" s="6" t="str">
        <f>'Double Exponen'!A41</f>
        <v>Oil B 20 LT</v>
      </c>
      <c r="B41" s="6">
        <f>($R$1*'Single Exponen'!B41)-'Double Exponen'!B41</f>
        <v>4698.6499999999996</v>
      </c>
      <c r="C41" s="6">
        <f>($R$1*'Single Exponen'!C41)-'Double Exponen'!C41</f>
        <v>9947.2955000000002</v>
      </c>
      <c r="D41" s="6">
        <f>($R$1*'Single Exponen'!D41)-'Double Exponen'!D41</f>
        <v>10401.387600000002</v>
      </c>
      <c r="E41" s="6">
        <f>($R$1*'Single Exponen'!E41)-'Double Exponen'!E41</f>
        <v>8432.1231350000016</v>
      </c>
      <c r="F41" s="6">
        <f>($R$1*'Single Exponen'!F41)-'Double Exponen'!F41</f>
        <v>59843.095509999999</v>
      </c>
      <c r="G41" s="6">
        <f>($R$1*'Single Exponen'!G41)-'Double Exponen'!G41</f>
        <v>21190.281965550002</v>
      </c>
      <c r="H41" s="6">
        <f>($R$1*'Single Exponen'!H41)-'Double Exponen'!H41</f>
        <v>11997.351670959999</v>
      </c>
      <c r="I41" s="6">
        <f>($R$1*'Single Exponen'!I41)-'Double Exponen'!I41</f>
        <v>20672.551274453497</v>
      </c>
      <c r="J41" s="6">
        <f>($R$1*'Single Exponen'!J41)-'Double Exponen'!J41</f>
        <v>22835.196578184998</v>
      </c>
      <c r="K41" s="6">
        <f>($R$1*'Single Exponen'!K41)-'Double Exponen'!K41</f>
        <v>46868.103049719546</v>
      </c>
      <c r="L41" s="6">
        <f>($R$1*'Single Exponen'!L41)-'Double Exponen'!L41</f>
        <v>14468.270583553516</v>
      </c>
      <c r="M41" s="6">
        <f>($R$1*'Single Exponen'!M41)-'Double Exponen'!M41</f>
        <v>7636.9010768399421</v>
      </c>
    </row>
    <row r="42" spans="1:13" x14ac:dyDescent="0.3">
      <c r="A42" s="6" t="str">
        <f>'Double Exponen'!A42</f>
        <v>Oil B 200 LT</v>
      </c>
      <c r="B42" s="6">
        <f>($R$1*'Single Exponen'!B42)-'Double Exponen'!B42</f>
        <v>1033.08</v>
      </c>
      <c r="C42" s="6">
        <f>($R$1*'Single Exponen'!C42)-'Double Exponen'!C42</f>
        <v>33544.743799999997</v>
      </c>
      <c r="D42" s="6">
        <f>($R$1*'Single Exponen'!D42)-'Double Exponen'!D42</f>
        <v>33803.593159999997</v>
      </c>
      <c r="E42" s="6">
        <f>($R$1*'Single Exponen'!E42)-'Double Exponen'!E42</f>
        <v>32019.332766000003</v>
      </c>
      <c r="F42" s="6">
        <f>($R$1*'Single Exponen'!F42)-'Double Exponen'!F42</f>
        <v>41250.423165999993</v>
      </c>
      <c r="G42" s="6">
        <f>($R$1*'Single Exponen'!G42)-'Double Exponen'!G42</f>
        <v>30255.097652380002</v>
      </c>
      <c r="H42" s="6">
        <f>($R$1*'Single Exponen'!H42)-'Double Exponen'!H42</f>
        <v>74124.916728035983</v>
      </c>
      <c r="I42" s="6">
        <f>($R$1*'Single Exponen'!I42)-'Double Exponen'!I42</f>
        <v>56074.077107500598</v>
      </c>
      <c r="J42" s="6">
        <f>($R$1*'Single Exponen'!J42)-'Double Exponen'!J42</f>
        <v>44924.181412430997</v>
      </c>
      <c r="K42" s="6">
        <f>($R$1*'Single Exponen'!K42)-'Double Exponen'!K42</f>
        <v>70764.374675892032</v>
      </c>
      <c r="L42" s="6">
        <f>($R$1*'Single Exponen'!L42)-'Double Exponen'!L42</f>
        <v>75128.453429714078</v>
      </c>
      <c r="M42" s="6">
        <f>($R$1*'Single Exponen'!M42)-'Double Exponen'!M42</f>
        <v>64912.482753166027</v>
      </c>
    </row>
    <row r="43" spans="1:13" x14ac:dyDescent="0.3">
      <c r="A43" s="6">
        <f>'Double Exponen'!A43</f>
        <v>0.8</v>
      </c>
      <c r="B43" s="6" t="str">
        <f>'Double Exponen'!B43</f>
        <v>T1</v>
      </c>
      <c r="C43" s="6" t="str">
        <f>'Double Exponen'!C43</f>
        <v>T2</v>
      </c>
      <c r="D43" s="6" t="str">
        <f>'Double Exponen'!D43</f>
        <v>T3</v>
      </c>
      <c r="E43" s="6" t="str">
        <f>'Double Exponen'!E43</f>
        <v>T4</v>
      </c>
      <c r="F43" s="6" t="str">
        <f>'Double Exponen'!F43</f>
        <v>T5</v>
      </c>
      <c r="G43" s="6" t="str">
        <f>'Double Exponen'!G43</f>
        <v>T6</v>
      </c>
      <c r="H43" s="6" t="str">
        <f>'Double Exponen'!H43</f>
        <v>T7</v>
      </c>
      <c r="I43" s="6" t="str">
        <f>'Double Exponen'!I43</f>
        <v>T8</v>
      </c>
      <c r="J43" s="6" t="str">
        <f>'Double Exponen'!J43</f>
        <v>T9</v>
      </c>
      <c r="K43" s="6" t="str">
        <f>'Double Exponen'!K43</f>
        <v>T10</v>
      </c>
      <c r="L43" s="6" t="str">
        <f>'Double Exponen'!L43</f>
        <v>T11</v>
      </c>
      <c r="M43" s="6" t="str">
        <f>'Double Exponen'!M43</f>
        <v>T12</v>
      </c>
    </row>
    <row r="44" spans="1:13" x14ac:dyDescent="0.3">
      <c r="A44" s="6" t="str">
        <f>'Double Exponen'!A44</f>
        <v>Oil A 20 LT</v>
      </c>
      <c r="B44" s="6">
        <f>($R$1*'Single Exponen'!B44)-'Double Exponen'!B44</f>
        <v>12588.09</v>
      </c>
      <c r="C44" s="6">
        <f>($R$1*'Single Exponen'!C44)-'Double Exponen'!C44</f>
        <v>734.6132000000016</v>
      </c>
      <c r="D44" s="6">
        <f>($R$1*'Single Exponen'!D44)-'Double Exponen'!D44</f>
        <v>23604.255119999998</v>
      </c>
      <c r="E44" s="6">
        <f>($R$1*'Single Exponen'!E44)-'Double Exponen'!E44</f>
        <v>12428.715055999997</v>
      </c>
      <c r="F44" s="6">
        <f>($R$1*'Single Exponen'!F44)-'Double Exponen'!F44</f>
        <v>7262.8270399999983</v>
      </c>
      <c r="G44" s="6">
        <f>($R$1*'Single Exponen'!G44)-'Double Exponen'!G44</f>
        <v>5095.9378339199975</v>
      </c>
      <c r="H44" s="6">
        <f>($R$1*'Single Exponen'!H44)-'Double Exponen'!H44</f>
        <v>20274.712350111997</v>
      </c>
      <c r="I44" s="6">
        <f>($R$1*'Single Exponen'!I44)-'Double Exponen'!I44</f>
        <v>11870.652375017597</v>
      </c>
      <c r="J44" s="6">
        <f>($R$1*'Single Exponen'!J44)-'Double Exponen'!J44</f>
        <v>10056.046189499197</v>
      </c>
      <c r="K44" s="6">
        <f>($R$1*'Single Exponen'!K44)-'Double Exponen'!K44</f>
        <v>6021.6181809459467</v>
      </c>
      <c r="L44" s="6">
        <f>($R$1*'Single Exponen'!L44)-'Double Exponen'!L44</f>
        <v>20296.486084930686</v>
      </c>
      <c r="M44" s="6">
        <f>($R$1*'Single Exponen'!M44)-'Double Exponen'!M44</f>
        <v>13202.508220853482</v>
      </c>
    </row>
    <row r="45" spans="1:13" x14ac:dyDescent="0.3">
      <c r="A45" s="6" t="str">
        <f>'Double Exponen'!A45</f>
        <v>Oil A 200 LT</v>
      </c>
      <c r="B45" s="6">
        <f>($R$1*'Single Exponen'!B45)-'Double Exponen'!B45</f>
        <v>459915.78</v>
      </c>
      <c r="C45" s="6">
        <f>($R$1*'Single Exponen'!C45)-'Double Exponen'!C45</f>
        <v>364619.34959999996</v>
      </c>
      <c r="D45" s="6">
        <f>($R$1*'Single Exponen'!D45)-'Double Exponen'!D45</f>
        <v>337941.79935999995</v>
      </c>
      <c r="E45" s="6">
        <f>($R$1*'Single Exponen'!E45)-'Double Exponen'!E45</f>
        <v>514574.59716800001</v>
      </c>
      <c r="F45" s="6">
        <f>($R$1*'Single Exponen'!F45)-'Double Exponen'!F45</f>
        <v>82341.590600000054</v>
      </c>
      <c r="G45" s="6">
        <f>($R$1*'Single Exponen'!G45)-'Double Exponen'!G45</f>
        <v>283370.86296975985</v>
      </c>
      <c r="H45" s="6">
        <f>($R$1*'Single Exponen'!H45)-'Double Exponen'!H45</f>
        <v>456662.66455873585</v>
      </c>
      <c r="I45" s="6">
        <f>($R$1*'Single Exponen'!I45)-'Double Exponen'!I45</f>
        <v>561941.38368005259</v>
      </c>
      <c r="J45" s="6">
        <f>($R$1*'Single Exponen'!J45)-'Double Exponen'!J45</f>
        <v>578875.30802748539</v>
      </c>
      <c r="K45" s="6">
        <f>($R$1*'Single Exponen'!K45)-'Double Exponen'!K45</f>
        <v>595747.96096782445</v>
      </c>
      <c r="L45" s="6">
        <f>($R$1*'Single Exponen'!L45)-'Double Exponen'!L45</f>
        <v>524765.59841965954</v>
      </c>
      <c r="M45" s="6">
        <f>($R$1*'Single Exponen'!M45)-'Double Exponen'!M45</f>
        <v>429151.91568741709</v>
      </c>
    </row>
    <row r="46" spans="1:13" x14ac:dyDescent="0.3">
      <c r="A46" s="6" t="str">
        <f>'Double Exponen'!A46</f>
        <v>Oil A 1000 LT</v>
      </c>
      <c r="B46" s="6">
        <f>($R$1*'Single Exponen'!B46)-'Double Exponen'!B46</f>
        <v>23458.3</v>
      </c>
      <c r="C46" s="6">
        <f>($R$1*'Single Exponen'!C46)-'Double Exponen'!C46</f>
        <v>51970.915999999997</v>
      </c>
      <c r="D46" s="6">
        <f>($R$1*'Single Exponen'!D46)-'Double Exponen'!D46</f>
        <v>35856.497600000002</v>
      </c>
      <c r="E46" s="6">
        <f>($R$1*'Single Exponen'!E46)-'Double Exponen'!E46</f>
        <v>48537.534480000002</v>
      </c>
      <c r="F46" s="6">
        <f>($R$1*'Single Exponen'!F46)-'Double Exponen'!F46</f>
        <v>26504.014360000001</v>
      </c>
      <c r="G46" s="6">
        <f>($R$1*'Single Exponen'!G46)-'Double Exponen'!G46</f>
        <v>73026.643589599989</v>
      </c>
      <c r="H46" s="6">
        <f>($R$1*'Single Exponen'!H46)-'Double Exponen'!H46</f>
        <v>120446.03336375995</v>
      </c>
      <c r="I46" s="6">
        <f>($R$1*'Single Exponen'!I46)-'Double Exponen'!I46</f>
        <v>80925.856854007987</v>
      </c>
      <c r="J46" s="6">
        <f>($R$1*'Single Exponen'!J46)-'Double Exponen'!J46</f>
        <v>6623.5885339320012</v>
      </c>
      <c r="K46" s="6">
        <f>($R$1*'Single Exponen'!K46)-'Double Exponen'!K46</f>
        <v>13305.213153603756</v>
      </c>
      <c r="L46" s="6">
        <f>($R$1*'Single Exponen'!L46)-'Double Exponen'!L46</f>
        <v>19402.000532856364</v>
      </c>
      <c r="M46" s="6">
        <f>($R$1*'Single Exponen'!M46)-'Double Exponen'!M46</f>
        <v>31724.102218493324</v>
      </c>
    </row>
    <row r="47" spans="1:13" x14ac:dyDescent="0.3">
      <c r="A47" s="6" t="str">
        <f>'Double Exponen'!A47</f>
        <v>Oil B 20 LT</v>
      </c>
      <c r="B47" s="6">
        <f>($R$1*'Single Exponen'!B47)-'Double Exponen'!B47</f>
        <v>4698.6499999999996</v>
      </c>
      <c r="C47" s="6">
        <f>($R$1*'Single Exponen'!C47)-'Double Exponen'!C47</f>
        <v>10697.101999999999</v>
      </c>
      <c r="D47" s="6">
        <f>($R$1*'Single Exponen'!D47)-'Double Exponen'!D47</f>
        <v>10616.2192</v>
      </c>
      <c r="E47" s="6">
        <f>($R$1*'Single Exponen'!E47)-'Double Exponen'!E47</f>
        <v>8193.7659600000006</v>
      </c>
      <c r="F47" s="6">
        <f>($R$1*'Single Exponen'!F47)-'Double Exponen'!F47</f>
        <v>67139.848699999988</v>
      </c>
      <c r="G47" s="6">
        <f>($R$1*'Single Exponen'!G47)-'Double Exponen'!G47</f>
        <v>17127.802097200001</v>
      </c>
      <c r="H47" s="6">
        <f>($R$1*'Single Exponen'!H47)-'Double Exponen'!H47</f>
        <v>9871.5799409200008</v>
      </c>
      <c r="I47" s="6">
        <f>($R$1*'Single Exponen'!I47)-'Double Exponen'!I47</f>
        <v>21486.711157515998</v>
      </c>
      <c r="J47" s="6">
        <f>($R$1*'Single Exponen'!J47)-'Double Exponen'!J47</f>
        <v>23306.977883902</v>
      </c>
      <c r="K47" s="6">
        <f>($R$1*'Single Exponen'!K47)-'Double Exponen'!K47</f>
        <v>50395.73166393931</v>
      </c>
      <c r="L47" s="6">
        <f>($R$1*'Single Exponen'!L47)-'Double Exponen'!L47</f>
        <v>10545.248811230889</v>
      </c>
      <c r="M47" s="6">
        <f>($R$1*'Single Exponen'!M47)-'Double Exponen'!M47</f>
        <v>5876.3867928449035</v>
      </c>
    </row>
    <row r="48" spans="1:13" x14ac:dyDescent="0.3">
      <c r="A48" s="6" t="str">
        <f>'Double Exponen'!A48</f>
        <v>Oil B 200 LT</v>
      </c>
      <c r="B48" s="6">
        <f>($R$1*'Single Exponen'!B48)-'Double Exponen'!B48</f>
        <v>1033.08</v>
      </c>
      <c r="C48" s="6">
        <f>($R$1*'Single Exponen'!C48)-'Double Exponen'!C48</f>
        <v>38189.267200000002</v>
      </c>
      <c r="D48" s="6">
        <f>($R$1*'Single Exponen'!D48)-'Double Exponen'!D48</f>
        <v>34769.476320000002</v>
      </c>
      <c r="E48" s="6">
        <f>($R$1*'Single Exponen'!E48)-'Double Exponen'!E48</f>
        <v>31957.615056000002</v>
      </c>
      <c r="F48" s="6">
        <f>($R$1*'Single Exponen'!F48)-'Double Exponen'!F48</f>
        <v>42556.806823999999</v>
      </c>
      <c r="G48" s="6">
        <f>($R$1*'Single Exponen'!G48)-'Double Exponen'!G48</f>
        <v>28945.613596320007</v>
      </c>
      <c r="H48" s="6">
        <f>($R$1*'Single Exponen'!H48)-'Double Exponen'!H48</f>
        <v>80130.136927631989</v>
      </c>
      <c r="I48" s="6">
        <f>($R$1*'Single Exponen'!I48)-'Double Exponen'!I48</f>
        <v>54696.429773057593</v>
      </c>
      <c r="J48" s="6">
        <f>($R$1*'Single Exponen'!J48)-'Double Exponen'!J48</f>
        <v>43055.809703389605</v>
      </c>
      <c r="K48" s="6">
        <f>($R$1*'Single Exponen'!K48)-'Double Exponen'!K48</f>
        <v>74082.156514578193</v>
      </c>
      <c r="L48" s="6">
        <f>($R$1*'Single Exponen'!L48)-'Double Exponen'!L48</f>
        <v>76415.449619425868</v>
      </c>
      <c r="M48" s="6">
        <f>($R$1*'Single Exponen'!M48)-'Double Exponen'!M48</f>
        <v>63710.457608744393</v>
      </c>
    </row>
    <row r="49" spans="1:13" x14ac:dyDescent="0.3">
      <c r="A49" s="6">
        <f>'Double Exponen'!A49</f>
        <v>0.9</v>
      </c>
      <c r="B49" s="6" t="str">
        <f>'Double Exponen'!B49</f>
        <v>T1</v>
      </c>
      <c r="C49" s="6" t="str">
        <f>'Double Exponen'!C49</f>
        <v>T2</v>
      </c>
      <c r="D49" s="6" t="str">
        <f>'Double Exponen'!D49</f>
        <v>T3</v>
      </c>
      <c r="E49" s="6" t="str">
        <f>'Double Exponen'!E49</f>
        <v>T4</v>
      </c>
      <c r="F49" s="6" t="str">
        <f>'Double Exponen'!F49</f>
        <v>T5</v>
      </c>
      <c r="G49" s="6" t="str">
        <f>'Double Exponen'!G49</f>
        <v>T6</v>
      </c>
      <c r="H49" s="6" t="str">
        <f>'Double Exponen'!H49</f>
        <v>T7</v>
      </c>
      <c r="I49" s="6" t="str">
        <f>'Double Exponen'!I49</f>
        <v>T8</v>
      </c>
      <c r="J49" s="6" t="str">
        <f>'Double Exponen'!J49</f>
        <v>T9</v>
      </c>
      <c r="K49" s="6" t="str">
        <f>'Double Exponen'!K49</f>
        <v>T10</v>
      </c>
      <c r="L49" s="6" t="str">
        <f>'Double Exponen'!L49</f>
        <v>T11</v>
      </c>
      <c r="M49" s="6" t="str">
        <f>'Double Exponen'!M49</f>
        <v>T12</v>
      </c>
    </row>
    <row r="50" spans="1:13" x14ac:dyDescent="0.3">
      <c r="A50" s="6" t="str">
        <f>'Double Exponen'!A50</f>
        <v>Oil A 20 LT</v>
      </c>
      <c r="B50" s="6">
        <f>($R$1*'Single Exponen'!B50)-'Double Exponen'!B50</f>
        <v>12588.09</v>
      </c>
      <c r="C50" s="6">
        <f>($R$1*'Single Exponen'!C50)-'Double Exponen'!C50</f>
        <v>-747.0713999999989</v>
      </c>
      <c r="D50" s="6">
        <f>($R$1*'Single Exponen'!D50)-'Double Exponen'!D50</f>
        <v>26314.791899999993</v>
      </c>
      <c r="E50" s="6">
        <f>($R$1*'Single Exponen'!E50)-'Double Exponen'!E50</f>
        <v>11302.826225999997</v>
      </c>
      <c r="F50" s="6">
        <f>($R$1*'Single Exponen'!F50)-'Double Exponen'!F50</f>
        <v>6504.5021549999947</v>
      </c>
      <c r="G50" s="6">
        <f>($R$1*'Single Exponen'!G50)-'Double Exponen'!G50</f>
        <v>4749.2441946599956</v>
      </c>
      <c r="H50" s="6">
        <f>($R$1*'Single Exponen'!H50)-'Double Exponen'!H50</f>
        <v>22137.38980071</v>
      </c>
      <c r="I50" s="6">
        <f>($R$1*'Single Exponen'!I50)-'Double Exponen'!I50</f>
        <v>11006.412623190598</v>
      </c>
      <c r="J50" s="6">
        <f>($R$1*'Single Exponen'!J50)-'Double Exponen'!J50</f>
        <v>9742.796441126693</v>
      </c>
      <c r="K50" s="6">
        <f>($R$1*'Single Exponen'!K50)-'Double Exponen'!K50</f>
        <v>5485.9897050395411</v>
      </c>
      <c r="L50" s="6">
        <f>($R$1*'Single Exponen'!L50)-'Double Exponen'!L50</f>
        <v>22027.281725338136</v>
      </c>
      <c r="M50" s="6">
        <f>($R$1*'Single Exponen'!M50)-'Double Exponen'!M50</f>
        <v>12488.840551884578</v>
      </c>
    </row>
    <row r="51" spans="1:13" x14ac:dyDescent="0.3">
      <c r="A51" s="6" t="str">
        <f>'Double Exponen'!A51</f>
        <v>Oil A 200 LT</v>
      </c>
      <c r="B51" s="6">
        <f>($R$1*'Single Exponen'!B51)-'Double Exponen'!B51</f>
        <v>459915.78</v>
      </c>
      <c r="C51" s="6">
        <f>($R$1*'Single Exponen'!C51)-'Double Exponen'!C51</f>
        <v>352707.29579999996</v>
      </c>
      <c r="D51" s="6">
        <f>($R$1*'Single Exponen'!D51)-'Double Exponen'!D51</f>
        <v>333415.90019999992</v>
      </c>
      <c r="E51" s="6">
        <f>($R$1*'Single Exponen'!E51)-'Double Exponen'!E51</f>
        <v>536201.10697799991</v>
      </c>
      <c r="F51" s="6">
        <f>($R$1*'Single Exponen'!F51)-'Double Exponen'!F51</f>
        <v>30475.115760000015</v>
      </c>
      <c r="G51" s="6">
        <f>($R$1*'Single Exponen'!G51)-'Double Exponen'!G51</f>
        <v>303312.87453197985</v>
      </c>
      <c r="H51" s="6">
        <f>($R$1*'Single Exponen'!H51)-'Double Exponen'!H51</f>
        <v>480318.34091357997</v>
      </c>
      <c r="I51" s="6">
        <f>($R$1*'Single Exponen'!I51)-'Double Exponen'!I51</f>
        <v>577466.79120570165</v>
      </c>
      <c r="J51" s="6">
        <f>($R$1*'Single Exponen'!J51)-'Double Exponen'!J51</f>
        <v>582544.58932347945</v>
      </c>
      <c r="K51" s="6">
        <f>($R$1*'Single Exponen'!K51)-'Double Exponen'!K51</f>
        <v>598223.9707149663</v>
      </c>
      <c r="L51" s="6">
        <f>($R$1*'Single Exponen'!L51)-'Double Exponen'!L51</f>
        <v>516140.40407585312</v>
      </c>
      <c r="M51" s="6">
        <f>($R$1*'Single Exponen'!M51)-'Double Exponen'!M51</f>
        <v>416337.68591150618</v>
      </c>
    </row>
    <row r="52" spans="1:13" x14ac:dyDescent="0.3">
      <c r="A52" s="6" t="str">
        <f>'Double Exponen'!A52</f>
        <v>Oil A 1000 LT</v>
      </c>
      <c r="B52" s="6">
        <f>($R$1*'Single Exponen'!B52)-'Double Exponen'!B52</f>
        <v>23458.3</v>
      </c>
      <c r="C52" s="6">
        <f>($R$1*'Single Exponen'!C52)-'Double Exponen'!C52</f>
        <v>55534.992999999995</v>
      </c>
      <c r="D52" s="6">
        <f>($R$1*'Single Exponen'!D52)-'Double Exponen'!D52</f>
        <v>34198.60300000001</v>
      </c>
      <c r="E52" s="6">
        <f>($R$1*'Single Exponen'!E52)-'Double Exponen'!E52</f>
        <v>49956.874630000006</v>
      </c>
      <c r="F52" s="6">
        <f>($R$1*'Single Exponen'!F52)-'Double Exponen'!F52</f>
        <v>23891.758359999996</v>
      </c>
      <c r="G52" s="6">
        <f>($R$1*'Single Exponen'!G52)-'Double Exponen'!G52</f>
        <v>78580.746643299994</v>
      </c>
      <c r="H52" s="6">
        <f>($R$1*'Single Exponen'!H52)-'Double Exponen'!H52</f>
        <v>126928.86739089998</v>
      </c>
      <c r="I52" s="6">
        <f>($R$1*'Single Exponen'!I52)-'Double Exponen'!I52</f>
        <v>76634.118193002985</v>
      </c>
      <c r="J52" s="6">
        <f>($R$1*'Single Exponen'!J52)-'Double Exponen'!J52</f>
        <v>-3093.3688721779981</v>
      </c>
      <c r="K52" s="6">
        <f>($R$1*'Single Exponen'!K52)-'Double Exponen'!K52</f>
        <v>13168.72049045172</v>
      </c>
      <c r="L52" s="6">
        <f>($R$1*'Single Exponen'!L52)-'Double Exponen'!L52</f>
        <v>20150.449688947745</v>
      </c>
      <c r="M52" s="6">
        <f>($R$1*'Single Exponen'!M52)-'Double Exponen'!M52</f>
        <v>33339.209844807076</v>
      </c>
    </row>
    <row r="53" spans="1:13" x14ac:dyDescent="0.3">
      <c r="A53" s="6" t="str">
        <f>'Double Exponen'!A53</f>
        <v>Oil B 20 LT</v>
      </c>
      <c r="B53" s="6">
        <f>($R$1*'Single Exponen'!B53)-'Double Exponen'!B53</f>
        <v>4698.6499999999996</v>
      </c>
      <c r="C53" s="6">
        <f>($R$1*'Single Exponen'!C53)-'Double Exponen'!C53</f>
        <v>11446.9085</v>
      </c>
      <c r="D53" s="6">
        <f>($R$1*'Single Exponen'!D53)-'Double Exponen'!D53</f>
        <v>10681.0895</v>
      </c>
      <c r="E53" s="6">
        <f>($R$1*'Single Exponen'!E53)-'Double Exponen'!E53</f>
        <v>7897.4463350000015</v>
      </c>
      <c r="F53" s="6">
        <f>($R$1*'Single Exponen'!F53)-'Double Exponen'!F53</f>
        <v>74478.477079999997</v>
      </c>
      <c r="G53" s="6">
        <f>($R$1*'Single Exponen'!G53)-'Double Exponen'!G53</f>
        <v>11610.159109850008</v>
      </c>
      <c r="H53" s="6">
        <f>($R$1*'Single Exponen'!H53)-'Double Exponen'!H53</f>
        <v>8412.7878726500003</v>
      </c>
      <c r="I53" s="6">
        <f>($R$1*'Single Exponen'!I53)-'Double Exponen'!I53</f>
        <v>22792.723352763496</v>
      </c>
      <c r="J53" s="6">
        <f>($R$1*'Single Exponen'!J53)-'Double Exponen'!J53</f>
        <v>23665.112444224997</v>
      </c>
      <c r="K53" s="6">
        <f>($R$1*'Single Exponen'!K53)-'Double Exponen'!K53</f>
        <v>53817.639342476279</v>
      </c>
      <c r="L53" s="6">
        <f>($R$1*'Single Exponen'!L53)-'Double Exponen'!L53</f>
        <v>5906.1292224960362</v>
      </c>
      <c r="M53" s="6">
        <f>($R$1*'Single Exponen'!M53)-'Double Exponen'!M53</f>
        <v>4828.8670816731683</v>
      </c>
    </row>
    <row r="54" spans="1:13" x14ac:dyDescent="0.3">
      <c r="A54" s="6" t="str">
        <f>'Double Exponen'!A54</f>
        <v>Oil B 200 LT</v>
      </c>
      <c r="B54" s="6">
        <f>($R$1*'Single Exponen'!B54)-'Double Exponen'!B54</f>
        <v>1033.08</v>
      </c>
      <c r="C54" s="6">
        <f>($R$1*'Single Exponen'!C54)-'Double Exponen'!C54</f>
        <v>42833.790599999993</v>
      </c>
      <c r="D54" s="6">
        <f>($R$1*'Single Exponen'!D54)-'Double Exponen'!D54</f>
        <v>34806.4548</v>
      </c>
      <c r="E54" s="6">
        <f>($R$1*'Single Exponen'!E54)-'Double Exponen'!E54</f>
        <v>31609.830246000005</v>
      </c>
      <c r="F54" s="6">
        <f>($R$1*'Single Exponen'!F54)-'Double Exponen'!F54</f>
        <v>43846.927313999986</v>
      </c>
      <c r="G54" s="6">
        <f>($R$1*'Single Exponen'!G54)-'Double Exponen'!G54</f>
        <v>27373.226491860005</v>
      </c>
      <c r="H54" s="6">
        <f>($R$1*'Single Exponen'!H54)-'Double Exponen'!H54</f>
        <v>86370.963633599982</v>
      </c>
      <c r="I54" s="6">
        <f>($R$1*'Single Exponen'!I54)-'Double Exponen'!I54</f>
        <v>52141.2990493326</v>
      </c>
      <c r="J54" s="6">
        <f>($R$1*'Single Exponen'!J54)-'Double Exponen'!J54</f>
        <v>41345.219122308597</v>
      </c>
      <c r="K54" s="6">
        <f>($R$1*'Single Exponen'!K54)-'Double Exponen'!K54</f>
        <v>77789.390807868651</v>
      </c>
      <c r="L54" s="6">
        <f>($R$1*'Single Exponen'!L54)-'Double Exponen'!L54</f>
        <v>77077.834686860879</v>
      </c>
      <c r="M54" s="6">
        <f>($R$1*'Single Exponen'!M54)-'Double Exponen'!M54</f>
        <v>62188.572114152703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kg</vt:lpstr>
      <vt:lpstr>OVERALL</vt:lpstr>
      <vt:lpstr>Optimasi From Lingo</vt:lpstr>
      <vt:lpstr>Peramalan Double Exponen</vt:lpstr>
      <vt:lpstr>Kecepatan Produksi</vt:lpstr>
      <vt:lpstr>Jam Kerja Tersedia</vt:lpstr>
      <vt:lpstr>Single Exponen</vt:lpstr>
      <vt:lpstr>Double Exponen</vt:lpstr>
      <vt:lpstr>Konstanta a</vt:lpstr>
      <vt:lpstr>Konstanta b</vt:lpstr>
      <vt:lpstr>Peramalan</vt:lpstr>
      <vt:lpstr>Rekap 0,1</vt:lpstr>
      <vt:lpstr>Rekap 0,2</vt:lpstr>
      <vt:lpstr>REKAP 0,3</vt:lpstr>
      <vt:lpstr>Rekap 0,4</vt:lpstr>
      <vt:lpstr>Rekap 0,5</vt:lpstr>
      <vt:lpstr>Rekap 0,6</vt:lpstr>
      <vt:lpstr>Rekap 0,7</vt:lpstr>
      <vt:lpstr>Rekap 0,8</vt:lpstr>
      <vt:lpstr>Rekap 0,9</vt:lpstr>
      <vt:lpstr>MAPE Double Exponen</vt:lpstr>
      <vt:lpstr>rekap PE double exponen</vt:lpstr>
      <vt:lpstr>triple exponen</vt:lpstr>
      <vt:lpstr>Konstanta a triple</vt:lpstr>
      <vt:lpstr>Konstanta b triple</vt:lpstr>
      <vt:lpstr>Konstanta c triple</vt:lpstr>
      <vt:lpstr>Peramalan triple</vt:lpstr>
      <vt:lpstr>MAPE Triple</vt:lpstr>
      <vt:lpstr>rekap PE triple exponen</vt:lpstr>
      <vt:lpstr>Rekap triple 0,1</vt:lpstr>
      <vt:lpstr>Rekap Triple 0,2</vt:lpstr>
      <vt:lpstr>Rekap Triple 0,3</vt:lpstr>
      <vt:lpstr>Rekap Triple 0,4</vt:lpstr>
      <vt:lpstr>Rekap Triple 0,5</vt:lpstr>
      <vt:lpstr>Rekap Triple 0,6</vt:lpstr>
      <vt:lpstr>Rekap Triple 0,7</vt:lpstr>
      <vt:lpstr>Rekap Triple 0,8</vt:lpstr>
      <vt:lpstr>Rekap Triple 0,9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GOGON</dc:creator>
  <cp:lastModifiedBy>Rachmad Deyan Caraka</cp:lastModifiedBy>
  <dcterms:created xsi:type="dcterms:W3CDTF">2022-12-13T13:25:26Z</dcterms:created>
  <dcterms:modified xsi:type="dcterms:W3CDTF">2023-10-11T17:15:44Z</dcterms:modified>
</cp:coreProperties>
</file>